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940" windowHeight="8130" activeTab="1"/>
  </bookViews>
  <sheets>
    <sheet name="ปี60" sheetId="1" r:id="rId1"/>
    <sheet name="ปี61" sheetId="2" r:id="rId2"/>
  </sheets>
  <calcPr calcId="124519"/>
</workbook>
</file>

<file path=xl/calcChain.xml><?xml version="1.0" encoding="utf-8"?>
<calcChain xmlns="http://schemas.openxmlformats.org/spreadsheetml/2006/main">
  <c r="D1063" i="2"/>
  <c r="D1065"/>
  <c r="D1064"/>
  <c r="D1053"/>
  <c r="D1000"/>
  <c r="D995"/>
  <c r="D996"/>
  <c r="D993"/>
  <c r="E993"/>
  <c r="D985"/>
  <c r="D962"/>
  <c r="D963" s="1"/>
  <c r="D964" s="1"/>
  <c r="D972" s="1"/>
  <c r="D951"/>
  <c r="D946"/>
  <c r="D938"/>
  <c r="D910"/>
  <c r="D911" s="1"/>
  <c r="D912" s="1"/>
  <c r="D901"/>
  <c r="D902" s="1"/>
  <c r="D903" s="1"/>
  <c r="D904" s="1"/>
  <c r="D859"/>
  <c r="D865" s="1"/>
  <c r="D879"/>
  <c r="D880" s="1"/>
  <c r="D845"/>
  <c r="D844"/>
  <c r="D843"/>
  <c r="D816"/>
  <c r="D817" s="1"/>
  <c r="D818" s="1"/>
  <c r="D801"/>
  <c r="D802" s="1"/>
  <c r="D809" s="1"/>
  <c r="D810" s="1"/>
  <c r="D758"/>
  <c r="D759" s="1"/>
  <c r="D760" s="1"/>
  <c r="D625"/>
  <c r="D626" s="1"/>
  <c r="D644"/>
  <c r="D745"/>
  <c r="D746" s="1"/>
  <c r="D611"/>
  <c r="D609"/>
  <c r="D612"/>
  <c r="D637"/>
  <c r="D635"/>
  <c r="D737"/>
  <c r="D739"/>
  <c r="D723"/>
  <c r="D735" s="1"/>
  <c r="D595"/>
  <c r="D600" s="1"/>
  <c r="D586"/>
  <c r="D589"/>
  <c r="D587"/>
  <c r="D714"/>
  <c r="D713"/>
  <c r="D564"/>
  <c r="D565" s="1"/>
  <c r="D572" s="1"/>
  <c r="D580" s="1"/>
  <c r="D581" s="1"/>
  <c r="D535"/>
  <c r="D537" s="1"/>
  <c r="D460"/>
  <c r="D458"/>
  <c r="D456"/>
  <c r="D455"/>
  <c r="D459"/>
  <c r="D517"/>
  <c r="D519"/>
  <c r="D520"/>
  <c r="D521"/>
  <c r="D522"/>
  <c r="D523"/>
  <c r="D525"/>
  <c r="D528"/>
  <c r="D529"/>
  <c r="D452"/>
  <c r="D450"/>
  <c r="D441"/>
  <c r="D444" s="1"/>
  <c r="D435"/>
  <c r="D433"/>
  <c r="D324"/>
  <c r="D325" s="1"/>
  <c r="D304"/>
  <c r="D306" s="1"/>
  <c r="D425"/>
  <c r="D426" s="1"/>
  <c r="D427" s="1"/>
  <c r="D357"/>
  <c r="D409"/>
  <c r="D410" s="1"/>
  <c r="D392"/>
  <c r="D404" s="1"/>
  <c r="D382"/>
  <c r="D363"/>
  <c r="D362"/>
  <c r="D358"/>
  <c r="D351"/>
  <c r="D353" s="1"/>
  <c r="D289"/>
  <c r="D293" s="1"/>
  <c r="D281"/>
  <c r="D285" s="1"/>
  <c r="D286" s="1"/>
  <c r="D331"/>
  <c r="D330"/>
  <c r="D273"/>
  <c r="D274" s="1"/>
  <c r="D257"/>
  <c r="D259" s="1"/>
  <c r="D245"/>
  <c r="D249"/>
  <c r="D251"/>
  <c r="D237"/>
  <c r="D218"/>
  <c r="D219" s="1"/>
  <c r="D220" s="1"/>
  <c r="D198"/>
  <c r="D199" s="1"/>
  <c r="D188"/>
  <c r="D193" s="1"/>
  <c r="D172"/>
  <c r="D176" s="1"/>
  <c r="D163"/>
  <c r="D168" s="1"/>
  <c r="D169" s="1"/>
  <c r="D157"/>
  <c r="D158" s="1"/>
  <c r="D159" s="1"/>
  <c r="D144"/>
  <c r="D145" s="1"/>
  <c r="D138"/>
  <c r="D139" s="1"/>
  <c r="D130"/>
  <c r="D131" s="1"/>
  <c r="D124"/>
  <c r="D125" s="1"/>
  <c r="D86"/>
  <c r="D91" s="1"/>
  <c r="D83"/>
  <c r="D84" s="1"/>
  <c r="D41"/>
  <c r="D74" s="1"/>
  <c r="D34"/>
  <c r="D39" s="1"/>
  <c r="C887"/>
  <c r="C888" s="1"/>
  <c r="C889" s="1"/>
  <c r="C893"/>
  <c r="C894" s="1"/>
  <c r="B123"/>
  <c r="B116"/>
  <c r="B59"/>
  <c r="B219"/>
  <c r="B220" s="1"/>
  <c r="B163"/>
  <c r="B166"/>
  <c r="B27"/>
  <c r="B26"/>
  <c r="B24"/>
  <c r="B244"/>
  <c r="B254" s="1"/>
  <c r="B231"/>
  <c r="B230"/>
  <c r="B404"/>
  <c r="B405" s="1"/>
  <c r="B425"/>
  <c r="B415"/>
  <c r="B422" s="1"/>
  <c r="B487"/>
  <c r="B488" s="1"/>
  <c r="B481"/>
  <c r="B482" s="1"/>
  <c r="B532"/>
  <c r="B538" s="1"/>
  <c r="B544" s="1"/>
  <c r="B801"/>
  <c r="B802" s="1"/>
  <c r="B810" s="1"/>
  <c r="B948"/>
  <c r="B953" s="1"/>
  <c r="B954" s="1"/>
  <c r="B955" s="1"/>
  <c r="B956" s="1"/>
  <c r="B962"/>
  <c r="B963" s="1"/>
  <c r="B964" s="1"/>
  <c r="B972" s="1"/>
  <c r="B1053"/>
  <c r="C1027"/>
  <c r="E1000"/>
  <c r="E997"/>
  <c r="E707"/>
  <c r="E633"/>
  <c r="E625"/>
  <c r="E626" s="1"/>
  <c r="E532"/>
  <c r="E340"/>
  <c r="E159"/>
  <c r="E158"/>
  <c r="E157"/>
  <c r="E144"/>
  <c r="E145" s="1"/>
  <c r="G1074"/>
  <c r="G1077" s="1"/>
  <c r="G1016"/>
  <c r="G1054" s="1"/>
  <c r="G1000"/>
  <c r="G997"/>
  <c r="G993"/>
  <c r="G985"/>
  <c r="G962"/>
  <c r="G963" s="1"/>
  <c r="G964" s="1"/>
  <c r="G972" s="1"/>
  <c r="G873"/>
  <c r="G874" s="1"/>
  <c r="G881" s="1"/>
  <c r="E873"/>
  <c r="E874" s="1"/>
  <c r="E881" s="1"/>
  <c r="D873"/>
  <c r="D874" s="1"/>
  <c r="C873"/>
  <c r="C874" s="1"/>
  <c r="C881" s="1"/>
  <c r="B873"/>
  <c r="B874" s="1"/>
  <c r="B881" s="1"/>
  <c r="G859"/>
  <c r="G865" s="1"/>
  <c r="C859"/>
  <c r="G852"/>
  <c r="B852"/>
  <c r="C852"/>
  <c r="D852"/>
  <c r="E852"/>
  <c r="E849"/>
  <c r="G832"/>
  <c r="G825"/>
  <c r="G826" s="1"/>
  <c r="E825"/>
  <c r="E826" s="1"/>
  <c r="C825"/>
  <c r="C826" s="1"/>
  <c r="G801"/>
  <c r="G802" s="1"/>
  <c r="G809" s="1"/>
  <c r="G746"/>
  <c r="G745"/>
  <c r="G735"/>
  <c r="G721"/>
  <c r="G707"/>
  <c r="G633"/>
  <c r="G625"/>
  <c r="G626" s="1"/>
  <c r="G579"/>
  <c r="G578"/>
  <c r="B572"/>
  <c r="B580" s="1"/>
  <c r="B581" s="1"/>
  <c r="G570"/>
  <c r="G571" s="1"/>
  <c r="G564"/>
  <c r="G532"/>
  <c r="G481"/>
  <c r="G482" s="1"/>
  <c r="G425"/>
  <c r="G422"/>
  <c r="G409"/>
  <c r="G410" s="1"/>
  <c r="G404"/>
  <c r="G382"/>
  <c r="G340"/>
  <c r="G324"/>
  <c r="G325" s="1"/>
  <c r="G259"/>
  <c r="E259"/>
  <c r="C259"/>
  <c r="B259"/>
  <c r="E237"/>
  <c r="G254"/>
  <c r="G230"/>
  <c r="G231" s="1"/>
  <c r="E230"/>
  <c r="E231" s="1"/>
  <c r="B176"/>
  <c r="E176"/>
  <c r="G176"/>
  <c r="G159"/>
  <c r="G158"/>
  <c r="G157"/>
  <c r="G145"/>
  <c r="G144"/>
  <c r="G139"/>
  <c r="G138"/>
  <c r="G125"/>
  <c r="G132" s="1"/>
  <c r="E125"/>
  <c r="E132" s="1"/>
  <c r="G74"/>
  <c r="E74"/>
  <c r="E1074"/>
  <c r="E1077" s="1"/>
  <c r="E1016"/>
  <c r="E1054" s="1"/>
  <c r="E985"/>
  <c r="E979"/>
  <c r="E980" s="1"/>
  <c r="E972"/>
  <c r="E955"/>
  <c r="E846"/>
  <c r="E801"/>
  <c r="E802" s="1"/>
  <c r="E809" s="1"/>
  <c r="E810" s="1"/>
  <c r="E740"/>
  <c r="E735"/>
  <c r="E715"/>
  <c r="E716" s="1"/>
  <c r="E644"/>
  <c r="E639"/>
  <c r="E614"/>
  <c r="E607"/>
  <c r="E600"/>
  <c r="E591"/>
  <c r="E592" s="1"/>
  <c r="E558"/>
  <c r="E552"/>
  <c r="E551"/>
  <c r="E537"/>
  <c r="E481"/>
  <c r="E482" s="1"/>
  <c r="E461"/>
  <c r="E453"/>
  <c r="E444"/>
  <c r="E437"/>
  <c r="E438" s="1"/>
  <c r="E422"/>
  <c r="E426" s="1"/>
  <c r="E427" s="1"/>
  <c r="E404"/>
  <c r="E382"/>
  <c r="E366"/>
  <c r="E360"/>
  <c r="E353"/>
  <c r="E333"/>
  <c r="E334" s="1"/>
  <c r="E324"/>
  <c r="E325" s="1"/>
  <c r="E310"/>
  <c r="E306"/>
  <c r="E302"/>
  <c r="E293"/>
  <c r="E285"/>
  <c r="E286" s="1"/>
  <c r="E273"/>
  <c r="E274" s="1"/>
  <c r="E254"/>
  <c r="E219"/>
  <c r="E199"/>
  <c r="E193"/>
  <c r="E168"/>
  <c r="E169" s="1"/>
  <c r="E91"/>
  <c r="E84"/>
  <c r="E39"/>
  <c r="E30"/>
  <c r="E22"/>
  <c r="D1016"/>
  <c r="D707"/>
  <c r="D607"/>
  <c r="D481"/>
  <c r="D482" s="1"/>
  <c r="D310"/>
  <c r="D302"/>
  <c r="D30"/>
  <c r="D22"/>
  <c r="C1074"/>
  <c r="C1077" s="1"/>
  <c r="B1074"/>
  <c r="C1051"/>
  <c r="C1048"/>
  <c r="C1045"/>
  <c r="C1043"/>
  <c r="C1037"/>
  <c r="C1016"/>
  <c r="B1016"/>
  <c r="B1001"/>
  <c r="C1000"/>
  <c r="C997"/>
  <c r="C987"/>
  <c r="C993" s="1"/>
  <c r="G979"/>
  <c r="G980" s="1"/>
  <c r="C972"/>
  <c r="G955"/>
  <c r="C929"/>
  <c r="C953" s="1"/>
  <c r="C920"/>
  <c r="C912"/>
  <c r="G846"/>
  <c r="B846"/>
  <c r="C836"/>
  <c r="C846" s="1"/>
  <c r="C801"/>
  <c r="C802" s="1"/>
  <c r="C809" s="1"/>
  <c r="C810" s="1"/>
  <c r="C760"/>
  <c r="C759"/>
  <c r="B758"/>
  <c r="G740"/>
  <c r="C740"/>
  <c r="B740"/>
  <c r="B741" s="1"/>
  <c r="B747" s="1"/>
  <c r="C735"/>
  <c r="G715"/>
  <c r="G716" s="1"/>
  <c r="C715"/>
  <c r="C716" s="1"/>
  <c r="B709"/>
  <c r="G644"/>
  <c r="G639"/>
  <c r="C639"/>
  <c r="C640" s="1"/>
  <c r="C709" s="1"/>
  <c r="B639"/>
  <c r="G614"/>
  <c r="B614"/>
  <c r="C612"/>
  <c r="C611"/>
  <c r="C610"/>
  <c r="G607"/>
  <c r="B607"/>
  <c r="C605"/>
  <c r="C607" s="1"/>
  <c r="G600"/>
  <c r="C600"/>
  <c r="B600"/>
  <c r="G591"/>
  <c r="G592" s="1"/>
  <c r="C591"/>
  <c r="C592" s="1"/>
  <c r="B591"/>
  <c r="B592" s="1"/>
  <c r="B578"/>
  <c r="C564"/>
  <c r="C565" s="1"/>
  <c r="G558"/>
  <c r="G552"/>
  <c r="G551"/>
  <c r="G537"/>
  <c r="C532"/>
  <c r="C538" s="1"/>
  <c r="C544" s="1"/>
  <c r="C480"/>
  <c r="C481" s="1"/>
  <c r="C482" s="1"/>
  <c r="G461"/>
  <c r="C461"/>
  <c r="B461"/>
  <c r="G453"/>
  <c r="C453"/>
  <c r="B453"/>
  <c r="G444"/>
  <c r="C444"/>
  <c r="B444"/>
  <c r="G437"/>
  <c r="G438" s="1"/>
  <c r="B437"/>
  <c r="B438" s="1"/>
  <c r="C433"/>
  <c r="C437" s="1"/>
  <c r="C438" s="1"/>
  <c r="C426"/>
  <c r="C427" s="1"/>
  <c r="C405"/>
  <c r="G366"/>
  <c r="B366"/>
  <c r="C362"/>
  <c r="C366" s="1"/>
  <c r="G360"/>
  <c r="B360"/>
  <c r="C355"/>
  <c r="C360" s="1"/>
  <c r="G353"/>
  <c r="B353"/>
  <c r="C345"/>
  <c r="C353" s="1"/>
  <c r="G333"/>
  <c r="G334" s="1"/>
  <c r="G310"/>
  <c r="C310"/>
  <c r="B310"/>
  <c r="G306"/>
  <c r="C306"/>
  <c r="B306"/>
  <c r="G302"/>
  <c r="B302"/>
  <c r="C299"/>
  <c r="C302" s="1"/>
  <c r="G293"/>
  <c r="C293"/>
  <c r="B293"/>
  <c r="G285"/>
  <c r="G286" s="1"/>
  <c r="C285"/>
  <c r="C286" s="1"/>
  <c r="B285"/>
  <c r="C274"/>
  <c r="B274"/>
  <c r="G273"/>
  <c r="G274" s="1"/>
  <c r="C273"/>
  <c r="C244"/>
  <c r="C254" s="1"/>
  <c r="G237"/>
  <c r="C237"/>
  <c r="G219"/>
  <c r="G220" s="1"/>
  <c r="G199"/>
  <c r="B199"/>
  <c r="C198"/>
  <c r="C197"/>
  <c r="C195"/>
  <c r="G193"/>
  <c r="C193"/>
  <c r="B193"/>
  <c r="C172"/>
  <c r="C176" s="1"/>
  <c r="G168"/>
  <c r="G169" s="1"/>
  <c r="C163"/>
  <c r="C168" s="1"/>
  <c r="C169" s="1"/>
  <c r="C144"/>
  <c r="C145" s="1"/>
  <c r="C131"/>
  <c r="C124"/>
  <c r="C125" s="1"/>
  <c r="G91"/>
  <c r="C91"/>
  <c r="B91"/>
  <c r="G84"/>
  <c r="C84"/>
  <c r="B84"/>
  <c r="C73"/>
  <c r="C74" s="1"/>
  <c r="B45"/>
  <c r="G39"/>
  <c r="C39"/>
  <c r="B39"/>
  <c r="G30"/>
  <c r="C30"/>
  <c r="G22"/>
  <c r="C22"/>
  <c r="B22"/>
  <c r="B833" i="1"/>
  <c r="B1008"/>
  <c r="B988"/>
  <c r="B986"/>
  <c r="B981"/>
  <c r="B897"/>
  <c r="B886"/>
  <c r="B880"/>
  <c r="B872"/>
  <c r="B863"/>
  <c r="B795"/>
  <c r="B794"/>
  <c r="B793"/>
  <c r="B781"/>
  <c r="B689"/>
  <c r="B533"/>
  <c r="B442"/>
  <c r="B404"/>
  <c r="B387"/>
  <c r="B358"/>
  <c r="B357"/>
  <c r="B356"/>
  <c r="B322"/>
  <c r="B300"/>
  <c r="B251"/>
  <c r="B250"/>
  <c r="B181"/>
  <c r="B142"/>
  <c r="B141"/>
  <c r="C1107"/>
  <c r="E1107"/>
  <c r="D1008"/>
  <c r="D1107"/>
  <c r="D1106"/>
  <c r="D1105"/>
  <c r="D1104"/>
  <c r="D1103"/>
  <c r="D1088"/>
  <c r="D1083"/>
  <c r="D1075"/>
  <c r="D1078"/>
  <c r="D1081"/>
  <c r="D1073"/>
  <c r="D1065"/>
  <c r="D1067"/>
  <c r="D1039"/>
  <c r="D1036"/>
  <c r="D1032"/>
  <c r="D1026"/>
  <c r="D988"/>
  <c r="D987"/>
  <c r="D986"/>
  <c r="D966"/>
  <c r="D985" s="1"/>
  <c r="D954"/>
  <c r="D946"/>
  <c r="D928"/>
  <c r="D927"/>
  <c r="D897"/>
  <c r="D886"/>
  <c r="D880"/>
  <c r="D872"/>
  <c r="D845"/>
  <c r="D844"/>
  <c r="D835"/>
  <c r="D834"/>
  <c r="D794"/>
  <c r="D793"/>
  <c r="D773"/>
  <c r="D767"/>
  <c r="D751"/>
  <c r="D750"/>
  <c r="D689"/>
  <c r="D662"/>
  <c r="D661"/>
  <c r="D663"/>
  <c r="D656"/>
  <c r="D640"/>
  <c r="D629"/>
  <c r="D628"/>
  <c r="D612"/>
  <c r="D611"/>
  <c r="D591"/>
  <c r="D590"/>
  <c r="D476"/>
  <c r="D533"/>
  <c r="D531"/>
  <c r="D470"/>
  <c r="D395"/>
  <c r="D408"/>
  <c r="D385"/>
  <c r="D326"/>
  <c r="D313"/>
  <c r="D300"/>
  <c r="D299"/>
  <c r="D298"/>
  <c r="D264"/>
  <c r="D257"/>
  <c r="D172"/>
  <c r="D206"/>
  <c r="D208"/>
  <c r="D209"/>
  <c r="D181"/>
  <c r="D148"/>
  <c r="D147"/>
  <c r="D137"/>
  <c r="D136"/>
  <c r="D129"/>
  <c r="D130"/>
  <c r="D88"/>
  <c r="D77"/>
  <c r="G1106"/>
  <c r="G1105"/>
  <c r="G1104"/>
  <c r="G1103"/>
  <c r="E1106"/>
  <c r="E1105"/>
  <c r="E1104"/>
  <c r="E1103"/>
  <c r="G1088"/>
  <c r="G1087"/>
  <c r="E1088"/>
  <c r="E1087"/>
  <c r="E1052"/>
  <c r="G1036"/>
  <c r="E1036"/>
  <c r="E1032"/>
  <c r="G1032"/>
  <c r="G1021"/>
  <c r="G1015"/>
  <c r="G1016" s="1"/>
  <c r="G1008"/>
  <c r="E985"/>
  <c r="E986" s="1"/>
  <c r="E987" s="1"/>
  <c r="E988" s="1"/>
  <c r="E880"/>
  <c r="G872"/>
  <c r="G880" s="1"/>
  <c r="G844"/>
  <c r="G834"/>
  <c r="G835" s="1"/>
  <c r="G767"/>
  <c r="G750"/>
  <c r="G751" s="1"/>
  <c r="G740"/>
  <c r="G693"/>
  <c r="G605"/>
  <c r="G612" s="1"/>
  <c r="G599"/>
  <c r="G598"/>
  <c r="G586"/>
  <c r="E582"/>
  <c r="E590" s="1"/>
  <c r="E591" s="1"/>
  <c r="G582"/>
  <c r="G590" s="1"/>
  <c r="G591" s="1"/>
  <c r="G532"/>
  <c r="G533" s="1"/>
  <c r="G459"/>
  <c r="G442"/>
  <c r="E442"/>
  <c r="G422"/>
  <c r="D406"/>
  <c r="E406"/>
  <c r="G406"/>
  <c r="C406"/>
  <c r="B406"/>
  <c r="G357"/>
  <c r="G358" s="1"/>
  <c r="G297"/>
  <c r="G298" s="1"/>
  <c r="D297"/>
  <c r="G274"/>
  <c r="G257"/>
  <c r="D78"/>
  <c r="C65"/>
  <c r="C45"/>
  <c r="B78"/>
  <c r="E136"/>
  <c r="E137" s="1"/>
  <c r="G130"/>
  <c r="G137" s="1"/>
  <c r="G88"/>
  <c r="G78"/>
  <c r="E78"/>
  <c r="E1086"/>
  <c r="E1040"/>
  <c r="E896"/>
  <c r="E897" s="1"/>
  <c r="E913" s="1"/>
  <c r="E928" s="1"/>
  <c r="E834"/>
  <c r="E772"/>
  <c r="E773" s="1"/>
  <c r="E781" s="1"/>
  <c r="E740"/>
  <c r="E688"/>
  <c r="E689" s="1"/>
  <c r="E742" s="1"/>
  <c r="E665"/>
  <c r="E658"/>
  <c r="E648"/>
  <c r="E639"/>
  <c r="E532"/>
  <c r="E511"/>
  <c r="E504"/>
  <c r="E487"/>
  <c r="E480"/>
  <c r="E469"/>
  <c r="E443"/>
  <c r="E412"/>
  <c r="E393"/>
  <c r="E374"/>
  <c r="E345"/>
  <c r="E333"/>
  <c r="E329"/>
  <c r="E320"/>
  <c r="E312"/>
  <c r="E283"/>
  <c r="E274"/>
  <c r="E234"/>
  <c r="E210"/>
  <c r="E204"/>
  <c r="E188"/>
  <c r="E177"/>
  <c r="E178" s="1"/>
  <c r="E101"/>
  <c r="E39"/>
  <c r="E28"/>
  <c r="E20"/>
  <c r="D1052"/>
  <c r="D1086" s="1"/>
  <c r="D1040"/>
  <c r="D913"/>
  <c r="D896"/>
  <c r="D772"/>
  <c r="D781" s="1"/>
  <c r="D742"/>
  <c r="D688"/>
  <c r="D665"/>
  <c r="D658"/>
  <c r="D648"/>
  <c r="D639"/>
  <c r="D582"/>
  <c r="D532"/>
  <c r="D511"/>
  <c r="D504"/>
  <c r="D487"/>
  <c r="D480"/>
  <c r="D481" s="1"/>
  <c r="D469"/>
  <c r="D443"/>
  <c r="D412"/>
  <c r="D393"/>
  <c r="D345"/>
  <c r="D333"/>
  <c r="D329"/>
  <c r="D320"/>
  <c r="D312"/>
  <c r="D283"/>
  <c r="D274"/>
  <c r="D210"/>
  <c r="D204"/>
  <c r="D188"/>
  <c r="D177"/>
  <c r="D178" s="1"/>
  <c r="D101"/>
  <c r="D39"/>
  <c r="D28"/>
  <c r="D20"/>
  <c r="C1103"/>
  <c r="C1052"/>
  <c r="C1086" s="1"/>
  <c r="C1040"/>
  <c r="C913"/>
  <c r="C928" s="1"/>
  <c r="C896"/>
  <c r="C792"/>
  <c r="C772"/>
  <c r="C773" s="1"/>
  <c r="C781" s="1"/>
  <c r="C742"/>
  <c r="C688"/>
  <c r="C665"/>
  <c r="C658"/>
  <c r="C648"/>
  <c r="C639"/>
  <c r="C629"/>
  <c r="C628"/>
  <c r="C626"/>
  <c r="C511"/>
  <c r="C504"/>
  <c r="C487"/>
  <c r="C480"/>
  <c r="C469"/>
  <c r="C443"/>
  <c r="C412"/>
  <c r="C393"/>
  <c r="C345"/>
  <c r="C333"/>
  <c r="C329"/>
  <c r="C320"/>
  <c r="C312"/>
  <c r="C298"/>
  <c r="C283"/>
  <c r="C274"/>
  <c r="C210"/>
  <c r="C204"/>
  <c r="C188"/>
  <c r="C177"/>
  <c r="C178" s="1"/>
  <c r="C130"/>
  <c r="C137" s="1"/>
  <c r="C101"/>
  <c r="C88"/>
  <c r="C39"/>
  <c r="C28"/>
  <c r="C20"/>
  <c r="B1103"/>
  <c r="B1052"/>
  <c r="B1086" s="1"/>
  <c r="B1040"/>
  <c r="B987"/>
  <c r="B985"/>
  <c r="B913"/>
  <c r="B928" s="1"/>
  <c r="B896"/>
  <c r="B772"/>
  <c r="B773" s="1"/>
  <c r="B742"/>
  <c r="B688"/>
  <c r="B665"/>
  <c r="B658"/>
  <c r="B648"/>
  <c r="B639"/>
  <c r="B532"/>
  <c r="B511"/>
  <c r="B504"/>
  <c r="B487"/>
  <c r="B480"/>
  <c r="B469"/>
  <c r="B443"/>
  <c r="B412"/>
  <c r="B393"/>
  <c r="B345"/>
  <c r="B333"/>
  <c r="B329"/>
  <c r="B320"/>
  <c r="B312"/>
  <c r="B298"/>
  <c r="B283"/>
  <c r="B274"/>
  <c r="B210"/>
  <c r="B204"/>
  <c r="B188"/>
  <c r="B177"/>
  <c r="B178" s="1"/>
  <c r="B130"/>
  <c r="B137" s="1"/>
  <c r="B101"/>
  <c r="B88"/>
  <c r="B39"/>
  <c r="B28"/>
  <c r="B20"/>
  <c r="G1052"/>
  <c r="G1086" s="1"/>
  <c r="G1040"/>
  <c r="G987"/>
  <c r="G896"/>
  <c r="G897" s="1"/>
  <c r="G913" s="1"/>
  <c r="G928" s="1"/>
  <c r="G772"/>
  <c r="G688"/>
  <c r="G689" s="1"/>
  <c r="G665"/>
  <c r="G658"/>
  <c r="G648"/>
  <c r="G639"/>
  <c r="G640" s="1"/>
  <c r="G511"/>
  <c r="G504"/>
  <c r="G487"/>
  <c r="G480"/>
  <c r="G481" s="1"/>
  <c r="G469"/>
  <c r="G470" s="1"/>
  <c r="G443"/>
  <c r="G412"/>
  <c r="G393"/>
  <c r="G374"/>
  <c r="G375" s="1"/>
  <c r="G345"/>
  <c r="G333"/>
  <c r="G329"/>
  <c r="G320"/>
  <c r="G312"/>
  <c r="G313" s="1"/>
  <c r="G283"/>
  <c r="G234"/>
  <c r="G210"/>
  <c r="G204"/>
  <c r="G188"/>
  <c r="G177"/>
  <c r="G178" s="1"/>
  <c r="G101"/>
  <c r="G39"/>
  <c r="G28"/>
  <c r="B260" i="2" l="1"/>
  <c r="B275" s="1"/>
  <c r="B276" s="1"/>
  <c r="D1074"/>
  <c r="D1077" s="1"/>
  <c r="G640"/>
  <c r="E538"/>
  <c r="E544" s="1"/>
  <c r="D366"/>
  <c r="G260"/>
  <c r="G275" s="1"/>
  <c r="G276" s="1"/>
  <c r="D333"/>
  <c r="D334" s="1"/>
  <c r="D405"/>
  <c r="G426"/>
  <c r="G427" s="1"/>
  <c r="B168"/>
  <c r="B169" s="1"/>
  <c r="D437"/>
  <c r="D438" s="1"/>
  <c r="D453"/>
  <c r="B426"/>
  <c r="B427" s="1"/>
  <c r="B30"/>
  <c r="B31" s="1"/>
  <c r="B125"/>
  <c r="B132" s="1"/>
  <c r="D254"/>
  <c r="D260" s="1"/>
  <c r="D275" s="1"/>
  <c r="D276" s="1"/>
  <c r="D591"/>
  <c r="D592" s="1"/>
  <c r="D997"/>
  <c r="D1001" s="1"/>
  <c r="D639"/>
  <c r="D640" s="1"/>
  <c r="D1054"/>
  <c r="D532"/>
  <c r="D538" s="1"/>
  <c r="D544" s="1"/>
  <c r="D740"/>
  <c r="D741" s="1"/>
  <c r="D747" s="1"/>
  <c r="D614"/>
  <c r="D615" s="1"/>
  <c r="D846"/>
  <c r="D853" s="1"/>
  <c r="D866" s="1"/>
  <c r="D708"/>
  <c r="E405"/>
  <c r="E640"/>
  <c r="D461"/>
  <c r="B311"/>
  <c r="B326" s="1"/>
  <c r="G565"/>
  <c r="G572" s="1"/>
  <c r="G580" s="1"/>
  <c r="G581" s="1"/>
  <c r="E708"/>
  <c r="B809"/>
  <c r="D360"/>
  <c r="D367" s="1"/>
  <c r="C895"/>
  <c r="B853"/>
  <c r="B866" s="1"/>
  <c r="B896" s="1"/>
  <c r="C1001"/>
  <c r="B1054"/>
  <c r="B1055" s="1"/>
  <c r="B1056" s="1"/>
  <c r="D881"/>
  <c r="E709"/>
  <c r="E853"/>
  <c r="E866" s="1"/>
  <c r="E896" s="1"/>
  <c r="C853"/>
  <c r="C866" s="1"/>
  <c r="D953"/>
  <c r="D954" s="1"/>
  <c r="D955" s="1"/>
  <c r="D956" s="1"/>
  <c r="E741"/>
  <c r="E747" s="1"/>
  <c r="E615"/>
  <c r="E627" s="1"/>
  <c r="G853"/>
  <c r="G866" s="1"/>
  <c r="G896" s="1"/>
  <c r="G810"/>
  <c r="C572"/>
  <c r="C580" s="1"/>
  <c r="C581" s="1"/>
  <c r="E462"/>
  <c r="E489" s="1"/>
  <c r="E260"/>
  <c r="E275" s="1"/>
  <c r="E276" s="1"/>
  <c r="C260"/>
  <c r="C275" s="1"/>
  <c r="C276" s="1"/>
  <c r="E200"/>
  <c r="E221" s="1"/>
  <c r="B200"/>
  <c r="G200"/>
  <c r="G221" s="1"/>
  <c r="D200"/>
  <c r="D221" s="1"/>
  <c r="C31"/>
  <c r="G311"/>
  <c r="G326" s="1"/>
  <c r="G367"/>
  <c r="C462"/>
  <c r="C489" s="1"/>
  <c r="C545" s="1"/>
  <c r="C741"/>
  <c r="C747" s="1"/>
  <c r="D132"/>
  <c r="C1053"/>
  <c r="C1054" s="1"/>
  <c r="E311"/>
  <c r="E326" s="1"/>
  <c r="E1001"/>
  <c r="E1055" s="1"/>
  <c r="E1056" s="1"/>
  <c r="G31"/>
  <c r="G92"/>
  <c r="C132"/>
  <c r="B367"/>
  <c r="G405"/>
  <c r="B462"/>
  <c r="B489" s="1"/>
  <c r="B545" s="1"/>
  <c r="G462"/>
  <c r="G489" s="1"/>
  <c r="B615"/>
  <c r="B627" s="1"/>
  <c r="B761" s="1"/>
  <c r="G615"/>
  <c r="G627" s="1"/>
  <c r="G741"/>
  <c r="G747" s="1"/>
  <c r="D31"/>
  <c r="D92"/>
  <c r="D311"/>
  <c r="D326" s="1"/>
  <c r="E31"/>
  <c r="E92"/>
  <c r="E367"/>
  <c r="C92"/>
  <c r="E565"/>
  <c r="E572" s="1"/>
  <c r="E580" s="1"/>
  <c r="E581" s="1"/>
  <c r="E1075"/>
  <c r="E1076" s="1"/>
  <c r="G538"/>
  <c r="G544" s="1"/>
  <c r="C954"/>
  <c r="C955" s="1"/>
  <c r="C956" s="1"/>
  <c r="G1001"/>
  <c r="G1055" s="1"/>
  <c r="G1056" s="1"/>
  <c r="B74"/>
  <c r="B92" s="1"/>
  <c r="C311"/>
  <c r="C326" s="1"/>
  <c r="C367"/>
  <c r="C411" s="1"/>
  <c r="C614"/>
  <c r="C615" s="1"/>
  <c r="C627" s="1"/>
  <c r="C199"/>
  <c r="C200" s="1"/>
  <c r="G708"/>
  <c r="C1076"/>
  <c r="C1075"/>
  <c r="G1075"/>
  <c r="G1076" s="1"/>
  <c r="G741" i="1"/>
  <c r="G773"/>
  <c r="C78"/>
  <c r="G781"/>
  <c r="G742"/>
  <c r="G628"/>
  <c r="G629" s="1"/>
  <c r="G413"/>
  <c r="G299"/>
  <c r="G300" s="1"/>
  <c r="B413"/>
  <c r="B449" s="1"/>
  <c r="E284"/>
  <c r="C299"/>
  <c r="C346"/>
  <c r="C359" s="1"/>
  <c r="C413"/>
  <c r="C449" s="1"/>
  <c r="C666"/>
  <c r="C672" s="1"/>
  <c r="C795" s="1"/>
  <c r="C1087"/>
  <c r="D29"/>
  <c r="D211"/>
  <c r="D236" s="1"/>
  <c r="D346"/>
  <c r="D359" s="1"/>
  <c r="D512"/>
  <c r="D539" s="1"/>
  <c r="D592" s="1"/>
  <c r="E666"/>
  <c r="E672" s="1"/>
  <c r="E795" s="1"/>
  <c r="E413"/>
  <c r="E449" s="1"/>
  <c r="E512"/>
  <c r="E539" s="1"/>
  <c r="E592" s="1"/>
  <c r="B512"/>
  <c r="B539" s="1"/>
  <c r="B592" s="1"/>
  <c r="E102"/>
  <c r="G449"/>
  <c r="G512"/>
  <c r="G539" s="1"/>
  <c r="G592" s="1"/>
  <c r="B1087"/>
  <c r="C29"/>
  <c r="G666"/>
  <c r="G672" s="1"/>
  <c r="G795" s="1"/>
  <c r="B29"/>
  <c r="B211"/>
  <c r="B236" s="1"/>
  <c r="B299"/>
  <c r="B346"/>
  <c r="B359" s="1"/>
  <c r="B471" s="1"/>
  <c r="B666"/>
  <c r="B672" s="1"/>
  <c r="C211"/>
  <c r="C236" s="1"/>
  <c r="C512"/>
  <c r="C539" s="1"/>
  <c r="C592" s="1"/>
  <c r="D102"/>
  <c r="D149" s="1"/>
  <c r="D413"/>
  <c r="D449" s="1"/>
  <c r="D471" s="1"/>
  <c r="D666"/>
  <c r="D672" s="1"/>
  <c r="D795" s="1"/>
  <c r="E211"/>
  <c r="E236" s="1"/>
  <c r="E346"/>
  <c r="E359" s="1"/>
  <c r="B102"/>
  <c r="B149" s="1"/>
  <c r="C102"/>
  <c r="E29"/>
  <c r="E149" s="1"/>
  <c r="E471"/>
  <c r="E299"/>
  <c r="D1087"/>
  <c r="D284"/>
  <c r="C284"/>
  <c r="B284"/>
  <c r="G102"/>
  <c r="G346"/>
  <c r="G359" s="1"/>
  <c r="G211"/>
  <c r="G236" s="1"/>
  <c r="G284"/>
  <c r="G20"/>
  <c r="G29" s="1"/>
  <c r="D1076" i="2" l="1"/>
  <c r="D1075"/>
  <c r="B221"/>
  <c r="D709"/>
  <c r="G709"/>
  <c r="D462"/>
  <c r="D489" s="1"/>
  <c r="D545" s="1"/>
  <c r="D411"/>
  <c r="D428" s="1"/>
  <c r="D1055"/>
  <c r="D1056" s="1"/>
  <c r="C1055"/>
  <c r="C1056" s="1"/>
  <c r="E545"/>
  <c r="E411"/>
  <c r="E428" s="1"/>
  <c r="D627"/>
  <c r="D761" s="1"/>
  <c r="D896"/>
  <c r="C146"/>
  <c r="C896"/>
  <c r="B411"/>
  <c r="B428" s="1"/>
  <c r="E761"/>
  <c r="D146"/>
  <c r="D222" s="1"/>
  <c r="C221"/>
  <c r="C761"/>
  <c r="G761"/>
  <c r="B146"/>
  <c r="G411"/>
  <c r="G428" s="1"/>
  <c r="G545"/>
  <c r="E146"/>
  <c r="E222" s="1"/>
  <c r="C428"/>
  <c r="G146"/>
  <c r="G222" s="1"/>
  <c r="G471" i="1"/>
  <c r="C149"/>
  <c r="C237" s="1"/>
  <c r="C471"/>
  <c r="D237"/>
  <c r="E237"/>
  <c r="B237"/>
  <c r="B1107" s="1"/>
  <c r="G149"/>
  <c r="G237" s="1"/>
  <c r="G1107" s="1"/>
  <c r="B222" i="2" l="1"/>
  <c r="B1078" s="1"/>
  <c r="D1078"/>
  <c r="C222"/>
  <c r="C1078" s="1"/>
  <c r="G1078"/>
  <c r="E1078"/>
</calcChain>
</file>

<file path=xl/sharedStrings.xml><?xml version="1.0" encoding="utf-8"?>
<sst xmlns="http://schemas.openxmlformats.org/spreadsheetml/2006/main" count="2478" uniqueCount="672">
  <si>
    <t>รายงานประมาณการรายจ่าย</t>
  </si>
  <si>
    <t>เทศบาลตำบลรางหวาย</t>
  </si>
  <si>
    <t>อำเภอพนมทวน  จังหวัดกาญจนบุรี</t>
  </si>
  <si>
    <t>รายจ่าย</t>
  </si>
  <si>
    <t>ประมาณการ</t>
  </si>
  <si>
    <t>ปี 2557</t>
  </si>
  <si>
    <t>ปี 2558</t>
  </si>
  <si>
    <t>ปี 2559</t>
  </si>
  <si>
    <t>ยอดต่าง %</t>
  </si>
  <si>
    <t>ปี 2560</t>
  </si>
  <si>
    <t>แผนงานบริหารงานทั่วไป</t>
  </si>
  <si>
    <t>งานบริหารงานทั่วไป</t>
  </si>
  <si>
    <t xml:space="preserve">     งานบุคลากร</t>
  </si>
  <si>
    <t xml:space="preserve">     เงินเดือน(ฝ่ายการเมือง)</t>
  </si>
  <si>
    <t xml:space="preserve">          เงินเดือนนายก/รองนายก</t>
  </si>
  <si>
    <t xml:space="preserve">          เงินค่าตอบแทนประจำตำแหน่งนายก/</t>
  </si>
  <si>
    <t xml:space="preserve">          รองนายก</t>
  </si>
  <si>
    <t xml:space="preserve">          เงินค่าตอบแทนพิเศษนายก/รองนายก</t>
  </si>
  <si>
    <t xml:space="preserve">          เงินค่าตอบแทนเลขานุการ/ที่ปรึกษา</t>
  </si>
  <si>
    <t xml:space="preserve">          นายกเทศมนตรี นายกองค์การบริหาร</t>
  </si>
  <si>
    <t xml:space="preserve">          ส่วนตำบล</t>
  </si>
  <si>
    <t xml:space="preserve">          เงินค่าตอบแทนสมาชิกสภาองค์กร</t>
  </si>
  <si>
    <t xml:space="preserve">          ปกครองส่วนท้องถิ่น</t>
  </si>
  <si>
    <t xml:space="preserve">                     รวมเงินเดือน(ฝ่ายการเมือง)</t>
  </si>
  <si>
    <t xml:space="preserve">     เงินเดือน(ฝ่ายประจำ)</t>
  </si>
  <si>
    <t xml:space="preserve">          เงินเดือนพนักงาน</t>
  </si>
  <si>
    <t xml:space="preserve">          เงินประจำตำแหน่ง</t>
  </si>
  <si>
    <t xml:space="preserve">          ค่าจ้างลูกจ้างประจำ</t>
  </si>
  <si>
    <t xml:space="preserve">          ค่าตอบแทนพนักงานจ้าง</t>
  </si>
  <si>
    <t xml:space="preserve">          เงินอื่นๆ</t>
  </si>
  <si>
    <t xml:space="preserve">                    รวมเงินเดือน(ฝ่ายประจำ)</t>
  </si>
  <si>
    <t xml:space="preserve">              รวมงบบุคลากร</t>
  </si>
  <si>
    <t xml:space="preserve">          เงินเพิ่มต่างๆของพนักงานจ้าง</t>
  </si>
  <si>
    <t xml:space="preserve">     งบดำเนินงาน</t>
  </si>
  <si>
    <t xml:space="preserve">     ค่าตอบแทน</t>
  </si>
  <si>
    <t xml:space="preserve">           ค่าตอบแทนการปฏิบัติงานนอกเวลาราชการ</t>
  </si>
  <si>
    <t xml:space="preserve">           ค่าเช่าบ้าน</t>
  </si>
  <si>
    <t xml:space="preserve">           ประโยชน์แก่องค์กรปกครองส่วนท้องถิ่น</t>
  </si>
  <si>
    <t xml:space="preserve">           ค่าตอบแทนผู้ปฏิบัติราชการอันเป็น</t>
  </si>
  <si>
    <t xml:space="preserve">           เงินช่วยเหลือการศึกษาบุตร</t>
  </si>
  <si>
    <t>รวมค่าตอบแทน</t>
  </si>
  <si>
    <t xml:space="preserve">     ค่าใช้สอย</t>
  </si>
  <si>
    <t xml:space="preserve">          รายจ่ายเพื่อให้ได้มาซึ่งบริการ</t>
  </si>
  <si>
    <t xml:space="preserve">          รายจ่ายเกี่ยวกับการรับรองและพิธีการ</t>
  </si>
  <si>
    <t xml:space="preserve">          รายจ่ายเกี่ยวเนื่องกับการปฏิบัติราชการที่ไม่เข้า</t>
  </si>
  <si>
    <t xml:space="preserve">          ลักษณะรายจ่ายหมวดอื่นๆ</t>
  </si>
  <si>
    <t xml:space="preserve">             - ค่าใช้จ่ายในการเดินทางไปราชการ</t>
  </si>
  <si>
    <t xml:space="preserve">             - โครงการจัดงานเกี่ยวกับรัฐพิธีและพระราชพิธีต่างๆ</t>
  </si>
  <si>
    <t xml:space="preserve">             - ค่าใช้จ่ายในการเลือกตั้ง</t>
  </si>
  <si>
    <t xml:space="preserve">          ค่าบำรุงรักษาและซ่อมแซม</t>
  </si>
  <si>
    <t>รวมค่าใช้สอย</t>
  </si>
  <si>
    <t xml:space="preserve">     ค่าวัสดุ</t>
  </si>
  <si>
    <t xml:space="preserve">          วัสดุสำนักงาน</t>
  </si>
  <si>
    <t xml:space="preserve">          วัสดุไฟฟ้าและวิทยุ</t>
  </si>
  <si>
    <t xml:space="preserve">          วัสดุงานบ้านงานครัว</t>
  </si>
  <si>
    <t xml:space="preserve">          วัสดุก่อสร้าง</t>
  </si>
  <si>
    <t xml:space="preserve">          วัสดุยานพาหนะและขนส่ง</t>
  </si>
  <si>
    <t xml:space="preserve">          วัสดุเชื้อเพลิงและหล่อลื่น</t>
  </si>
  <si>
    <t xml:space="preserve">          วัสดุคอมพิวเตอร์</t>
  </si>
  <si>
    <t xml:space="preserve">          วัสดุอื่น</t>
  </si>
  <si>
    <t>รวมค่าวัสดุ</t>
  </si>
  <si>
    <t xml:space="preserve">     ค่าสาธารณูปโภค</t>
  </si>
  <si>
    <t xml:space="preserve">          ค่าไฟฟ้า</t>
  </si>
  <si>
    <t xml:space="preserve">          ค่าน้ำประปา ค่าน้ำบาดาล</t>
  </si>
  <si>
    <t xml:space="preserve">          ค่าบริการโทรศัพท์</t>
  </si>
  <si>
    <t xml:space="preserve">          ค่าบริการไปรษณีย์</t>
  </si>
  <si>
    <t xml:space="preserve">          ค่าบริการสื่อสารและโทรคมนาคม</t>
  </si>
  <si>
    <t>รวมค่าสาธารณูปโภค</t>
  </si>
  <si>
    <t>รวมงบดำเนินงาน</t>
  </si>
  <si>
    <t xml:space="preserve">     งบลงทุน</t>
  </si>
  <si>
    <t xml:space="preserve">     ค่าครุภัณฑ์</t>
  </si>
  <si>
    <t xml:space="preserve">          ครุภัณพ์สำนักงาน</t>
  </si>
  <si>
    <t xml:space="preserve">             - เครื่องสร้างลมเย็น</t>
  </si>
  <si>
    <t xml:space="preserve">             - ชุดรับแขกชนิดไม้</t>
  </si>
  <si>
    <t xml:space="preserve">             - เครื่องปรับอากาศ แบบแยกส่วน</t>
  </si>
  <si>
    <t xml:space="preserve">          ครุภัณฑ์ไฟฟ้าและวิทยุ</t>
  </si>
  <si>
    <t xml:space="preserve">             - ตู้ลำโพงอเนกประสงค์ แบบเคลื่อนที่</t>
  </si>
  <si>
    <t xml:space="preserve">          ครุภัณฑ์โฆษณาและเผยแพร่</t>
  </si>
  <si>
    <t xml:space="preserve">             - เครื่องมัลติมีเดียโปรเจคเตอร์</t>
  </si>
  <si>
    <t xml:space="preserve">             - เครื่องทำน้ำเย็นแบบต่อท่อ</t>
  </si>
  <si>
    <t xml:space="preserve">          ครุภัณฑ์งานบ้านงานครัว</t>
  </si>
  <si>
    <t xml:space="preserve">          ค่าบำรุงรักาและปรับปรุงครุภัณฑ์</t>
  </si>
  <si>
    <t>รวมค่าครุภัณฑ์</t>
  </si>
  <si>
    <t xml:space="preserve">     ที่ดินและสิ่งก่อสร้าง</t>
  </si>
  <si>
    <t xml:space="preserve">          อาคารต่าง ๆ </t>
  </si>
  <si>
    <t xml:space="preserve">             - อาคารเก็บของและห้องทำงาน</t>
  </si>
  <si>
    <t xml:space="preserve">          ค่าต่อเติมหรือดัดแปลงอาคารบ้านพัก</t>
  </si>
  <si>
    <t>รวมที่ดินและสิ่งก่อสร้าง</t>
  </si>
  <si>
    <t>รวมงบลงทุน</t>
  </si>
  <si>
    <t xml:space="preserve">     งบรายจ่ายอื่น</t>
  </si>
  <si>
    <t xml:space="preserve">     รายจ่ายอื่น</t>
  </si>
  <si>
    <t xml:space="preserve">          รายจ่ายอื่น</t>
  </si>
  <si>
    <t>รวมรายจ่ายอื่น</t>
  </si>
  <si>
    <t>รวมงบรายจ่ายอื่น</t>
  </si>
  <si>
    <t xml:space="preserve">     งบเงินอุดหนุน</t>
  </si>
  <si>
    <t xml:space="preserve">     เงินอุดหนุน</t>
  </si>
  <si>
    <t xml:space="preserve">          เงินอุดหนุนส่วนราชการ</t>
  </si>
  <si>
    <t xml:space="preserve">          เงินอุดหนุนกิจการที่เป็นสาธารณประโยชน์</t>
  </si>
  <si>
    <t>รวมเงินอุดหนุน</t>
  </si>
  <si>
    <t>รวมงบเงินอุดหนุน</t>
  </si>
  <si>
    <t>รวมงานบริหารทั่วไป</t>
  </si>
  <si>
    <t>งานวางแผนสถิติและวิชาการ</t>
  </si>
  <si>
    <t xml:space="preserve">             - โครงการประชาคมเพื่อจัดทำแผนพัฒนาท้องถิ่น</t>
  </si>
  <si>
    <t>รวมงานแผนงานสถิติและวิชาการ</t>
  </si>
  <si>
    <t>งานบริหารงานคลัง</t>
  </si>
  <si>
    <t xml:space="preserve">     งบบุคลากร</t>
  </si>
  <si>
    <t xml:space="preserve">          เงินเพิ่มต่าง ๆ ของพนักงานจ้าง</t>
  </si>
  <si>
    <t>รวมเงินเดือน(ฝ่ายประจำ)</t>
  </si>
  <si>
    <t>รวมงบบุคลากร</t>
  </si>
  <si>
    <t xml:space="preserve">          ค่าตอบแทนการปฏิบัติงานนอกเวลาราชการ</t>
  </si>
  <si>
    <t xml:space="preserve">          เงินช่วยเหลือการศึกษาบุตร</t>
  </si>
  <si>
    <t xml:space="preserve">             - โครงการ I see you (สถานีข่าวสารท้องถิ่น)</t>
  </si>
  <si>
    <t xml:space="preserve">             - โครงการบุคคลต้นแบบ</t>
  </si>
  <si>
    <t xml:space="preserve">             - โครงการเร่งรัดการจัดเก็บภาษี</t>
  </si>
  <si>
    <t xml:space="preserve">             - โครงการเร่งรัดจัดเก็บภาษี</t>
  </si>
  <si>
    <t xml:space="preserve">     ค่าตรุภัณฑ์</t>
  </si>
  <si>
    <t xml:space="preserve">          ครุภัณฑ์สำนักงาน</t>
  </si>
  <si>
    <t xml:space="preserve">             - เก้าอี้ทำงาน</t>
  </si>
  <si>
    <t xml:space="preserve">             - ตู้เก็บเอกสาร</t>
  </si>
  <si>
    <t xml:space="preserve">          ครุภัณฑ์คอมพิวเตอร์</t>
  </si>
  <si>
    <t xml:space="preserve">             - เครื่องคอมพิวเตอร์</t>
  </si>
  <si>
    <t xml:space="preserve">             - เครื่องพิมพ์</t>
  </si>
  <si>
    <t xml:space="preserve">             - เครื่องพิมพ์แบบฉีดหมึก</t>
  </si>
  <si>
    <t xml:space="preserve">             - เครื่องสำรองไฟ</t>
  </si>
  <si>
    <t xml:space="preserve">             1.เครื่องคอมพิวเตอร์</t>
  </si>
  <si>
    <t xml:space="preserve">             2.เครื่องพิมพ์</t>
  </si>
  <si>
    <t xml:space="preserve">             3.เครื่องสำรองไฟ</t>
  </si>
  <si>
    <t xml:space="preserve">          ค่าบำรุงรักษาและปรับปรุงครุภัณฑ์</t>
  </si>
  <si>
    <t>รวมงานบริหารงานคลัง</t>
  </si>
  <si>
    <t>รวมแผนงานบริหารงานทั่วไป</t>
  </si>
  <si>
    <t>แผนงานการรักษาความสงบภายใน</t>
  </si>
  <si>
    <r>
      <t xml:space="preserve">     </t>
    </r>
    <r>
      <rPr>
        <b/>
        <sz val="11"/>
        <color theme="1"/>
        <rFont val="TH SarabunPSK"/>
        <family val="2"/>
      </rPr>
      <t>งบดำเนินงาน</t>
    </r>
  </si>
  <si>
    <r>
      <t xml:space="preserve">     </t>
    </r>
    <r>
      <rPr>
        <b/>
        <sz val="11"/>
        <color theme="1"/>
        <rFont val="TH SarabunPSK"/>
        <family val="2"/>
      </rPr>
      <t>ค่าตอบแทน</t>
    </r>
  </si>
  <si>
    <t xml:space="preserve">             - โครงการป้องกันและแก้ไขปัญหายาเสพติด</t>
  </si>
  <si>
    <t xml:space="preserve">             - โครงการป้องกันและลดอุบัติเหตุในช่วงเทศกาล</t>
  </si>
  <si>
    <t xml:space="preserve">          ค่าบำรุงรักาและซ่อมแซม</t>
  </si>
  <si>
    <t xml:space="preserve">          ครุภัณฑ์ยานพาหนะและขนส่ง</t>
  </si>
  <si>
    <t xml:space="preserve">          ครุภัณฑ์การเกษตร</t>
  </si>
  <si>
    <t xml:space="preserve">             - เลื่อยยนต์</t>
  </si>
  <si>
    <t>รวมงานบริหารทั่วไปเกี่ยวกับการรักษาความสบงภายใน</t>
  </si>
  <si>
    <t>รวมแผนงานการรักษาความสงบภายใน</t>
  </si>
  <si>
    <t>แผนงานการศึกษา</t>
  </si>
  <si>
    <t>งานบริหารทั่วไปเกี่ยวกับการศึกษา</t>
  </si>
  <si>
    <t>งานบริหารทั่วไปเกี่ยวกับการรักษาความสงบภายใน</t>
  </si>
  <si>
    <t xml:space="preserve">             - โครงงการสนับสนุนค่าใช้จ่ายการบริหารสถานศึกษา</t>
  </si>
  <si>
    <t>รวมงานบริหารทั่วไปเกี่ยวกับการศึกษา</t>
  </si>
  <si>
    <t>งานระดับก่อนวัยเรียนและประถมศึกษา</t>
  </si>
  <si>
    <t xml:space="preserve">             - โครงการกีฬาอนุบาลสานสัมพันธ์ชุมชน</t>
  </si>
  <si>
    <t xml:space="preserve">             - โครงการเปิดห้องเรียนรู้..สู่โลกกว้าง</t>
  </si>
  <si>
    <t xml:space="preserve">             - โครงการสนับสนุนค่าใช้จ่ายบริหารสถานศึกษา</t>
  </si>
  <si>
    <t xml:space="preserve">          ค่าอาหารเสริม(นม)</t>
  </si>
  <si>
    <t xml:space="preserve">          วัสดุการเกษตร</t>
  </si>
  <si>
    <t xml:space="preserve">     ค่าที่ดินและสิ่งก่อสร้าง</t>
  </si>
  <si>
    <t xml:space="preserve">          ค่าต่อเติมหรอดัดแปลงอาคารบ้านพัก</t>
  </si>
  <si>
    <t xml:space="preserve">             - โครงการต่อเติมศูนย์พัฒนาเด็กเล็กบ้านดอนเตาอิฐ</t>
  </si>
  <si>
    <t xml:space="preserve">             - โครงการต่อเติมศูนย์พัฒนาเด็กเล็กบ้านรางหวาย</t>
  </si>
  <si>
    <t xml:space="preserve">          ค่าก่อสร้างสิ่งสาธารณูปโภค</t>
  </si>
  <si>
    <t xml:space="preserve">             - โครงการก่อสร้างเสาธงชาติ</t>
  </si>
  <si>
    <t xml:space="preserve">          ค่าบำรุงรักษาและปรับปรุงที่ดินและสิ่งก่อสร้าง</t>
  </si>
  <si>
    <t xml:space="preserve">             - บำรุงรักษาหรือปรับปรุงศูนย์พัฒนาเด็กเล็ก</t>
  </si>
  <si>
    <t>รวมค่าที่ดินและสิ่งก่อสร้าง</t>
  </si>
  <si>
    <r>
      <t xml:space="preserve">     </t>
    </r>
    <r>
      <rPr>
        <b/>
        <sz val="11"/>
        <color theme="1"/>
        <rFont val="TH SarabunPSK"/>
        <family val="2"/>
      </rPr>
      <t>เงินอุดหนุน</t>
    </r>
  </si>
  <si>
    <t>รวมงานระดับก่อนวัยเรียนและประถมศึกษา</t>
  </si>
  <si>
    <t>งานศึกษาไม่กำหนดระดับ</t>
  </si>
  <si>
    <r>
      <t xml:space="preserve">     </t>
    </r>
    <r>
      <rPr>
        <b/>
        <sz val="11"/>
        <color theme="1"/>
        <rFont val="TH SarabunPSK"/>
        <family val="2"/>
      </rPr>
      <t>ค่าใช้สอย</t>
    </r>
  </si>
  <si>
    <t xml:space="preserve">             - โครงการวันเด็กแห่งชาติ ประจำปี 2559</t>
  </si>
  <si>
    <t xml:space="preserve">             - โครงการวันเด็กแห่งชาติ ประจำปี 2560</t>
  </si>
  <si>
    <t>รวมงานศึกษาไม่กำหนดระดับ</t>
  </si>
  <si>
    <t>รวมแผนงานการศึกษา</t>
  </si>
  <si>
    <t>แผนงานสาธารณสุข</t>
  </si>
  <si>
    <t>งานบริหารทั่วไปเกี่ยวกับสาธารณสุข</t>
  </si>
  <si>
    <t xml:space="preserve">          วัสดุวิทยาศาสตร์หรือการแพทย์</t>
  </si>
  <si>
    <t xml:space="preserve">             - โต๊ะทำงาน</t>
  </si>
  <si>
    <t xml:space="preserve">             - เครื่องปรับอากาศ</t>
  </si>
  <si>
    <t xml:space="preserve">             - ชั้นวางเอกสาร</t>
  </si>
  <si>
    <t xml:space="preserve">             - ตู้เก็บเอกสารบานเลื่อนแบบกระจก</t>
  </si>
  <si>
    <t xml:space="preserve">             - ตู้เหล็กเก็บเอกสารบานเลื่อนแบบทึบ</t>
  </si>
  <si>
    <t xml:space="preserve">             - เครื่องคอมพิวเตอร์สำหรับงานสำนักงาน</t>
  </si>
  <si>
    <t xml:space="preserve">             - เครื่องพิมพ์ Multifunction</t>
  </si>
  <si>
    <t xml:space="preserve">          ครุภัณฑ์อื่น</t>
  </si>
  <si>
    <t xml:space="preserve">             - เครื่องล้างอัดฉีด</t>
  </si>
  <si>
    <t xml:space="preserve">          เงินอุดหนุนเอกชน</t>
  </si>
  <si>
    <t>รวมงานบริหารทั่วไปเกี่ยวกับสาธารณสุข</t>
  </si>
  <si>
    <t>งานบริการสาธารณสุขและงานสาธารณสุขอื่น</t>
  </si>
  <si>
    <t xml:space="preserve">             - โครงการ"รณรงค์ประชาสัมพันธ์ วันต้านเอดส์โลก"</t>
  </si>
  <si>
    <t xml:space="preserve">             - โครงการเทศบาลหน้ามอง</t>
  </si>
  <si>
    <t xml:space="preserve">             - โครงการปรับภูมิทัศน์บริเวณบ่อกำจัดขยะ</t>
  </si>
  <si>
    <t xml:space="preserve">             - โครงการเผยแพร่ความรู้ด้านกฎหมายสาธารณสุข</t>
  </si>
  <si>
    <t xml:space="preserve">             - โครงการพลังงานทดแทน</t>
  </si>
  <si>
    <t xml:space="preserve">             - โครงการยี่โถบาน...หน้าบ้านเรา</t>
  </si>
  <si>
    <t xml:space="preserve">             - โครงการอบรมแกนนำพิทักษ์อนุรักษ์สิ่งแวดล้อม</t>
  </si>
  <si>
    <t xml:space="preserve">             - โครงการธนาคารขยะรีไซเคิล</t>
  </si>
  <si>
    <t xml:space="preserve">             - โครงการปรับภูมิทัศน์บริเวณบ่อขยะ</t>
  </si>
  <si>
    <t xml:space="preserve">             - โครงการฝึกอบรม EMS </t>
  </si>
  <si>
    <t xml:space="preserve">             - โครงการรณรงค์ควบคุมป้องกันโรคไข้เลือดออก </t>
  </si>
  <si>
    <t>รวมงานบริการสาธารณสุขและงานสาธารณสุขอื่น</t>
  </si>
  <si>
    <t>รวมแผนงานสาธารณสุข</t>
  </si>
  <si>
    <t>แผนงานสังคมสงเคราะห์</t>
  </si>
  <si>
    <t>งานสวัสดิการสังคมและสังคมสงเคราะห์</t>
  </si>
  <si>
    <t xml:space="preserve">             - โครงการฟื้นฟูดูแลสุขภาพจิตให้แก่คนพิการ</t>
  </si>
  <si>
    <t xml:space="preserve">             - โครงการฝึกอาชีพให้แก่คนพิการ</t>
  </si>
  <si>
    <t>รวมงานสวัสดิการสังคมและสังคมสงเคราะห์</t>
  </si>
  <si>
    <t>รวมแผนงานสังคมสงเคราะห์</t>
  </si>
  <si>
    <t>แผนงานเคหะและชุมชน</t>
  </si>
  <si>
    <t>งานบริหารทั่วไปเกี่ยวกับเคหะและชุมชน</t>
  </si>
  <si>
    <t xml:space="preserve">          ค่าเช่าบ้าน</t>
  </si>
  <si>
    <t>รวมงานบริหารทั่วไปเกี่ยวกับเคหะและชุมชน</t>
  </si>
  <si>
    <t>งานไฟฟ้าถนน</t>
  </si>
  <si>
    <t>รวมงานไฟฟ้าถนน</t>
  </si>
  <si>
    <t>งานกำจัดขยะมูลฝอยและสิ่งปฏิกูล</t>
  </si>
  <si>
    <r>
      <t xml:space="preserve">          </t>
    </r>
    <r>
      <rPr>
        <sz val="11"/>
        <color theme="1"/>
        <rFont val="TH SarabunPSK"/>
        <family val="2"/>
      </rPr>
      <t>ค่าตอบแทนพนักงานจ้าง</t>
    </r>
  </si>
  <si>
    <t xml:space="preserve">          เงินเพิ่มต่าง ๆของพนักงาน</t>
  </si>
  <si>
    <t>รวมงานกำจัดขยะมูลฝอยและสิ่งปฏิกูล</t>
  </si>
  <si>
    <t>งานบำนัดน้ำเสีย</t>
  </si>
  <si>
    <r>
      <t xml:space="preserve">     </t>
    </r>
    <r>
      <rPr>
        <b/>
        <sz val="11"/>
        <color theme="1"/>
        <rFont val="TH SarabunPSK"/>
        <family val="2"/>
      </rPr>
      <t>ค่าที่ดินและสิ่งก่อสร้าง</t>
    </r>
  </si>
  <si>
    <t>รวมงานบำบัดน้ำเสีย</t>
  </si>
  <si>
    <t>รวมแผนงานเคหะและชุมชน</t>
  </si>
  <si>
    <t>แผนงานสร้างความเข้มแข็งของชุมชน</t>
  </si>
  <si>
    <t>งานส่งเสริมและสนับสนุนความเข้มแข็งชุมชน</t>
  </si>
  <si>
    <t xml:space="preserve">             - โครงการสุขใจกับวัยทอง</t>
  </si>
  <si>
    <t xml:space="preserve">             - โครงการอบรมการผลิตเครื่องดื่มน้ำสมุนไพร</t>
  </si>
  <si>
    <t xml:space="preserve">             - โครงการอบรมป้องกันการละเมิดสิทธิมนุษยชน</t>
  </si>
  <si>
    <t xml:space="preserve">             กลุ่มวิสาหกิจชุมชนเขมชาติ(ท่าน้ำตื่น)</t>
  </si>
  <si>
    <t xml:space="preserve">             - โครงการฝึกอาชีพการผลิตผลิตภัณฑ์จากสมุนไพร</t>
  </si>
  <si>
    <t xml:space="preserve">             - โครงการพัฒนาศักยภาพสตรีตำบลรางหวาย</t>
  </si>
  <si>
    <t xml:space="preserve">             - โครงการวันผู้สูงอายุ ประจำปี 2560</t>
  </si>
  <si>
    <t xml:space="preserve">             - โครงการส่งเสริมอาชีพผลิตตะกร้าจากเชือกฟาง</t>
  </si>
  <si>
    <t xml:space="preserve">             - โครงการวันผู้สูงอายุ ปี 2559</t>
  </si>
  <si>
    <t xml:space="preserve">   งบเงินอุดหนุน</t>
  </si>
  <si>
    <t>รวมงานส่งเสริมและสนับสนุนความเข้มแข็งชุมชน</t>
  </si>
  <si>
    <t>รวมแผนงานสร้างความเข้มแข็งของชุมชน</t>
  </si>
  <si>
    <t>แผนงานการศาสนาวัฒนธรรมและนันทนาการ</t>
  </si>
  <si>
    <t>งานกีฬาและนันทนาการ</t>
  </si>
  <si>
    <t xml:space="preserve">             - โครงการแข่งขันกีฬา"รางหวายคัพ"ประจำปี 2559</t>
  </si>
  <si>
    <t xml:space="preserve">             - โครงการแข่งขันกีฬา"รางหวายคัพ"ประจำปี 2560</t>
  </si>
  <si>
    <t xml:space="preserve">          วัสดุกีฬา</t>
  </si>
  <si>
    <t xml:space="preserve">          ครุภัณฑ์กีฬา</t>
  </si>
  <si>
    <t xml:space="preserve">             - โครงการติดตั้งเครื่องออกกำลังกาย หมู่ที่ 23</t>
  </si>
  <si>
    <t xml:space="preserve">             - โครงการติดตั้งเครื่องออกกำลังกาย หมู่ที่ 20</t>
  </si>
  <si>
    <t>รวมงานกีฬาและนันทนาการ</t>
  </si>
  <si>
    <t>งานศาสนาวัฒนธรรมท้องถิ่น</t>
  </si>
  <si>
    <t xml:space="preserve">     รายจ่ายเกี่ยวเนื่องกับการปฏิบัติราชการที่ไม่เข้าลักษณะรายจ่ายอื่นๆ</t>
  </si>
  <si>
    <t xml:space="preserve">             - โครงการบ้านร่มเย็นเป็นสุข</t>
  </si>
  <si>
    <t xml:space="preserve">             - โครงการประเพณีลอยกระทง</t>
  </si>
  <si>
    <t xml:space="preserve">             - โครงการประเพณีวันสงกรานต์</t>
  </si>
  <si>
    <t xml:space="preserve">             - โครงการมารยาทไทย</t>
  </si>
  <si>
    <t xml:space="preserve">             - โครงการสืบสานประเพณีวันเข้าพรรษา</t>
  </si>
  <si>
    <t>รวมงานศาสนาวัฒนธรรมท้องถิ่น</t>
  </si>
  <si>
    <t>งานวิชาการวางแผนและส่งเสริมการท่องเที่ยว</t>
  </si>
  <si>
    <t xml:space="preserve">             - โครงการของดีบ้านฉัน</t>
  </si>
  <si>
    <t>รวมงานวิชาการวางแผนและส่งเสริมการท่องเที่ยว</t>
  </si>
  <si>
    <t>รวมแผนงานการศาสนาวัฒนธรรมและนันทนาการ</t>
  </si>
  <si>
    <t>แผนงานอุตสาหกรรมและการโยธา</t>
  </si>
  <si>
    <t>งานก่อสร้างโครงสร้างพื้นฐาน</t>
  </si>
  <si>
    <r>
      <t xml:space="preserve">     </t>
    </r>
    <r>
      <rPr>
        <b/>
        <sz val="11"/>
        <color theme="1"/>
        <rFont val="TH SarabunPSK"/>
        <family val="2"/>
      </rPr>
      <t>ค่าครุภัณฑ์</t>
    </r>
  </si>
  <si>
    <t xml:space="preserve">          ครุภัณฑ์ก่อสร้าง</t>
  </si>
  <si>
    <t xml:space="preserve">             - เครื่องตบดิน</t>
  </si>
  <si>
    <t xml:space="preserve">             - รถตัดคอนกรีต</t>
  </si>
  <si>
    <t xml:space="preserve">             - อุปกรณ์ทดสอบความข้นเหลวของคอนกรีต</t>
  </si>
  <si>
    <t xml:space="preserve">             - โครงการปรับปรุงถนนหินคลุกในเทศบาลตำบล</t>
  </si>
  <si>
    <t>รวมงานก่อสร้างโครงสร้างพื้นฐาน</t>
  </si>
  <si>
    <t>รวมแผนงานอุตสาหกรรมและการโยธา</t>
  </si>
  <si>
    <t>แผนงานการเกษตร</t>
  </si>
  <si>
    <t>งานส่งเสริมการเกษตร</t>
  </si>
  <si>
    <r>
      <t xml:space="preserve">          </t>
    </r>
    <r>
      <rPr>
        <sz val="11"/>
        <color theme="1"/>
        <rFont val="TH SarabunPSK"/>
        <family val="2"/>
      </rPr>
      <t>วัสดุการเกษตร</t>
    </r>
  </si>
  <si>
    <t>รวมงานส่งเสริมการเกษตร</t>
  </si>
  <si>
    <t>รวมแผนงานการเกษตร</t>
  </si>
  <si>
    <t>แผนงานการพาณิชย์</t>
  </si>
  <si>
    <t>งานกิจการประปา</t>
  </si>
  <si>
    <t>รวมงานกิจการประปา</t>
  </si>
  <si>
    <t>รวมแผนงานการพาณิชย์</t>
  </si>
  <si>
    <t>แผนงานงบกลาง</t>
  </si>
  <si>
    <t>งบกลาง</t>
  </si>
  <si>
    <t xml:space="preserve">     งบกลาง</t>
  </si>
  <si>
    <t xml:space="preserve">          ค่าชำระหนี้เงินต้น</t>
  </si>
  <si>
    <t xml:space="preserve">          ค่าชำระดอกเบี้ย</t>
  </si>
  <si>
    <t xml:space="preserve">          เงินสมทบกองทุนประกันสังคม</t>
  </si>
  <si>
    <t xml:space="preserve">          เบี้ยยังชีพผู้สูงอายุ</t>
  </si>
  <si>
    <t xml:space="preserve">          เบี้ยยังชีพคนพิการ</t>
  </si>
  <si>
    <t xml:space="preserve">          เบี้ยยังชีพผู้ป่วยเอดส์</t>
  </si>
  <si>
    <t xml:space="preserve">          สำรองจ่าย</t>
  </si>
  <si>
    <t xml:space="preserve">          รายจ่ายตามข้อผูกพัน</t>
  </si>
  <si>
    <t>รวมงบกลาง</t>
  </si>
  <si>
    <t>รวมแผนงานงบกลาง</t>
  </si>
  <si>
    <t>รวมทุกแผนงาน</t>
  </si>
  <si>
    <t xml:space="preserve">             - โครงการจัดงานวันเฉลิมพระชนมพรรษาสมเด็จ</t>
  </si>
  <si>
    <t xml:space="preserve">             พระนางเจ้าฯ พระบรมราชินีนาถ(วันแม่แห่งชาติ)</t>
  </si>
  <si>
    <t xml:space="preserve">             - โครงการเพิ่มศักยภาพสมาชิกสภาเทศบาลและ</t>
  </si>
  <si>
    <t xml:space="preserve">             เทคนิคการอภิปรายในสภาและการพูดในที่สาธารณะ</t>
  </si>
  <si>
    <t xml:space="preserve">             ท้องถิ่น</t>
  </si>
  <si>
    <t xml:space="preserve">             และส่งเสริมกระบวนการ มีส่วนร่วมในการพัฒนา</t>
  </si>
  <si>
    <t xml:space="preserve">             - โครงการศึกษาดูงานเพื่อพัฒนาศักยภาพผู้บริหาร </t>
  </si>
  <si>
    <t xml:space="preserve">              สมาชิกสภาเทศบาลและผู้นำชุมชนเพื่อเพิ่มทักษะ</t>
  </si>
  <si>
    <t xml:space="preserve">             - โครงการจัดงานวันเฉลิมพระชนมพรรษา</t>
  </si>
  <si>
    <t xml:space="preserve">             สมเด็จฯ พระเจ้าอยู่หัว (วันพ่อแห่งชาติ)</t>
  </si>
  <si>
    <t xml:space="preserve">             - โครงการอบรมเชิงปฏิบัติการคอมพิวเตอร์ เพื่อการ</t>
  </si>
  <si>
    <t xml:space="preserve">             พัฒนาเว็บไซต์ประชาสัมพันธ์ ของเทศบาลตำบล</t>
  </si>
  <si>
    <t xml:space="preserve">             รางหวาย</t>
  </si>
  <si>
    <t xml:space="preserve">             - ชุดเครื่องเสียงและอุปกรณ์ สำหรับใช้ในห้อง</t>
  </si>
  <si>
    <t xml:space="preserve">             ประชุมสำนักงานเทศบาล</t>
  </si>
  <si>
    <t xml:space="preserve">             ประชุมอาคารเฉลิมพระเกียรติ์ 80 พรรษา</t>
  </si>
  <si>
    <t xml:space="preserve">          ค่าตอบแทนผู้ปฏิบัติราชการอันเป็นประโยชน์แก่</t>
  </si>
  <si>
    <t xml:space="preserve">          องค์กรปกครองส่วนท้องถิ่น</t>
  </si>
  <si>
    <t xml:space="preserve">             - ปรับปรุงซ่อมแซมอาคารเฉลิมพระเกียรติ์80พรรษา</t>
  </si>
  <si>
    <t xml:space="preserve">             - โครงการเทศบาลเคลื่อนที่เพื่อประชาคมจัดทำ</t>
  </si>
  <si>
    <t xml:space="preserve">             แผนพัฒนาเทศบาลและแผนชุมชน</t>
  </si>
  <si>
    <t xml:space="preserve">             ขั้นตอนการการสำรวจข้อมูลภาคสนาม</t>
  </si>
  <si>
    <t xml:space="preserve">             - โครงการจัดทำแผนที่ภาษีและทะเบียนทรัพย์สิน </t>
  </si>
  <si>
    <t xml:space="preserve">          ลักษณะรายจ่ายอื่นๆ</t>
  </si>
  <si>
    <t xml:space="preserve">             - โครงการประชาสัมพันธ์และรณรงค์ด้านการ</t>
  </si>
  <si>
    <t xml:space="preserve">             ป้องกันและบรรเทาสาธารณภัย</t>
  </si>
  <si>
    <t xml:space="preserve">             - โครงการฝึกอบรมและซักซ้อมแนวทางแผนปฏิบัติ</t>
  </si>
  <si>
    <t xml:space="preserve">             การป้องกันและบรรเทาสาธารณภัย</t>
  </si>
  <si>
    <t xml:space="preserve">             - โครงการฝึกทักษะการระงับเหตุอัคคีภัย </t>
  </si>
  <si>
    <t xml:space="preserve">             ประจำปี 2560</t>
  </si>
  <si>
    <t xml:space="preserve">             เสพติด</t>
  </si>
  <si>
    <t xml:space="preserve">             จัดซื้อรถบรรทุก(ดีเซล)แบบบรรทุกน้ำเอนกประสงค์</t>
  </si>
  <si>
    <t xml:space="preserve">             (ตามราคามาตรบานครุภัณฑ์)</t>
  </si>
  <si>
    <t>-100%</t>
  </si>
  <si>
    <t xml:space="preserve">             - ตู้เก็บเอกสารเหล็ก</t>
  </si>
  <si>
    <t>100%</t>
  </si>
  <si>
    <t>-10%</t>
  </si>
  <si>
    <t>0%</t>
  </si>
  <si>
    <t>-16.67%</t>
  </si>
  <si>
    <r>
      <t xml:space="preserve">          </t>
    </r>
    <r>
      <rPr>
        <sz val="11"/>
        <color theme="1"/>
        <rFont val="TH SarabunPSK"/>
        <family val="2"/>
      </rPr>
      <t>ค่าตอบแทนผู้ปฏิบัติราชการอันเป็นประโยชน์แก่</t>
    </r>
  </si>
  <si>
    <t>-33.33%</t>
  </si>
  <si>
    <t xml:space="preserve">             - โครงการก่อสร้างรั้วและประตูรอบศูนย์พัฒนา</t>
  </si>
  <si>
    <t xml:space="preserve">             เด็กเล็กบ้านหนองจอก</t>
  </si>
  <si>
    <t xml:space="preserve">             - โครงการปรับปรุงซ่อมแซมรั้วศูนย์พัฒนาเด็กเล็ก</t>
  </si>
  <si>
    <t xml:space="preserve">             บ้านรางหวาย</t>
  </si>
  <si>
    <t>-25%</t>
  </si>
  <si>
    <t xml:space="preserve">             - โครงการการให้บริการและการสร้างเครื่อข่าย</t>
  </si>
  <si>
    <t xml:space="preserve">             ปฏิบัติการฉุกเบื้องต้นชุมชน</t>
  </si>
  <si>
    <t xml:space="preserve">             - โครงการ"สุขาภิบาลอาหาร ส่งเสริมการท่องเที่ยว</t>
  </si>
  <si>
    <t xml:space="preserve">             สนับสนุนเศรษฐกิจไทย(Clen Food Good Taste)</t>
  </si>
  <si>
    <t xml:space="preserve">             - โครงการรณรงค์ควบคุมดูแลป้องกันและแก้ไข</t>
  </si>
  <si>
    <t xml:space="preserve">             เกี่ยวกับโรคต่างๆ</t>
  </si>
  <si>
    <t xml:space="preserve">             - โครงการตรวจประเมินสถานที่จำหน่ายอาหารตาม</t>
  </si>
  <si>
    <t xml:space="preserve">             - โครงการโลกสวยด้วยสีเขียว(วันอนุรักษ์สิ่งแวด</t>
  </si>
  <si>
    <t xml:space="preserve">             ล้อมโลก)</t>
  </si>
  <si>
    <t xml:space="preserve">             - โครงการก่อสร้างที่อยู่อาศัยให้แก่ผู้ยากไร้หรือ</t>
  </si>
  <si>
    <t xml:space="preserve">             ผู้ด้อยโอการส</t>
  </si>
  <si>
    <t>-66.67%</t>
  </si>
  <si>
    <t xml:space="preserve">             - โครงการติดตั้งดวงโคมไฟฟ้าแสงสว่างสาธารณะ</t>
  </si>
  <si>
    <t xml:space="preserve">             ริมถนน ม.17บ้านป่าไม้โยน ตำบลรางหวาย </t>
  </si>
  <si>
    <t xml:space="preserve">             อำเภอพนมทวน จังหวัดกาญจนบุรี</t>
  </si>
  <si>
    <t xml:space="preserve">             ริมถนน ม.4 บ้านหนองจอก ตำบลรางหวาย </t>
  </si>
  <si>
    <t xml:space="preserve">              จังหวัดกาญจนบุรี</t>
  </si>
  <si>
    <t xml:space="preserve">              เซนต์  ภายในตำบลรางหวาย อำเภอพนมทวน </t>
  </si>
  <si>
    <t xml:space="preserve">             - โครงการติดตั้งไฟฟ้าแสงสว่างหลอดฟลูออเรส</t>
  </si>
  <si>
    <t xml:space="preserve">             คล้ายสุบรรณ์ ม.2 บ้านรางหวาย</t>
  </si>
  <si>
    <t xml:space="preserve">             - โครงการวางท่อระบายน้ำบริเวณบ้านนายเมือง </t>
  </si>
  <si>
    <t xml:space="preserve">             - โครงการขุดลอกคลองทิ้งน้ำภายในตำบลรางหวาย </t>
  </si>
  <si>
    <t xml:space="preserve">             อำเภอพนมทวน</t>
  </si>
  <si>
    <t xml:space="preserve">             - โครงการซ่อมแซมดาดคอนกรีตคลองส่งน้ำภายใน</t>
  </si>
  <si>
    <t xml:space="preserve">             ตำบลรางหวาย</t>
  </si>
  <si>
    <t xml:space="preserve">             - โครงการอบรมการออกแบบบรรจุภัณฑ์กลุ่ม</t>
  </si>
  <si>
    <t xml:space="preserve">             วิสาหกิจชุมชนหัตถกรรม ร่วมสมัยไทยทรงดำ</t>
  </si>
  <si>
    <t xml:space="preserve">             - โครงการฝึกอบรมเพิ่มศักยภาพกลุ่มวิสาหกิจชุมชน</t>
  </si>
  <si>
    <t xml:space="preserve">             และศึกษาดูงาน</t>
  </si>
  <si>
    <t xml:space="preserve">             - โครงการพัฒนาศักยภาพเกษตรกรด้านการปลูก</t>
  </si>
  <si>
    <t xml:space="preserve">             พืชทนแล้ง</t>
  </si>
  <si>
    <t xml:space="preserve">             - โครงการส่งเสริมการฝึกอบรมด้านอาชีพให้แก่</t>
  </si>
  <si>
    <t xml:space="preserve">             สมาชิกสภาและเด็ก</t>
  </si>
  <si>
    <t xml:space="preserve">             - โครงการพัฒนาศักยภาพสภาวัฒนธรรม</t>
  </si>
  <si>
    <t xml:space="preserve">             - โครงการปรับปรุงบ้านไทยทรงดำ(เฮือนผู้ลาว)ม.6 </t>
  </si>
  <si>
    <t xml:space="preserve">             บ้านดอนเตาอิฐ</t>
  </si>
  <si>
    <t xml:space="preserve">          ลักษณะรายจ่ายหมวดอื่น</t>
  </si>
  <si>
    <t xml:space="preserve">             - โครงการก่อสร้างถนนคอนกรีตเสริมสายเลียบ</t>
  </si>
  <si>
    <t xml:space="preserve">             คลองชลประทาน ม.17 บ้านป่าไม้โยน</t>
  </si>
  <si>
    <t xml:space="preserve">             - อุปกรณ์เก็บตัวอย่างคอนกรีต</t>
  </si>
  <si>
    <t xml:space="preserve">             - โครงการก่อสร้างถนนคอนกรีตเสริมเหล็ก </t>
  </si>
  <si>
    <t xml:space="preserve">             - โครงการปรับปรุงซ่อมแซมถนนลาดยาง สายทาง</t>
  </si>
  <si>
    <t xml:space="preserve">             เข้าโรงเรียนบ้านดอนเตาอิฐ ม.22</t>
  </si>
  <si>
    <t xml:space="preserve">             - โครงการปรับปรุงซ่อมแซมถนนลาดยางสายเลียบ</t>
  </si>
  <si>
    <t xml:space="preserve">             - โครงการปรับปรุงซ่อมแซมถนนหินคลุกสายเลียบ</t>
  </si>
  <si>
    <t xml:space="preserve">             - โครงการก่อสร้างถนนคอนกรีตเสริมเหล็ก</t>
  </si>
  <si>
    <t xml:space="preserve">             สายม.23 - ม.8</t>
  </si>
  <si>
    <t xml:space="preserve">             - โครงการก่อสร้างถนนคอนกรีตเสริมเหล็ก ม.12 </t>
  </si>
  <si>
    <t xml:space="preserve">             บ้านวังกาบ</t>
  </si>
  <si>
    <t xml:space="preserve">             สายบ้านกำนันเสนาะ ทองนุ่ม ม.2 บ้านรางหวาย</t>
  </si>
  <si>
    <t xml:space="preserve">             สายบ้านผู้ใหญ่บูรณ์ ม.10 บ้านรางทอง</t>
  </si>
  <si>
    <t xml:space="preserve">             คลองชลประทาน ม.23 บ้านไร่ยาพฒนา</t>
  </si>
  <si>
    <t xml:space="preserve">             คลอง 8 ม.21 บ้านหนองแก</t>
  </si>
  <si>
    <t xml:space="preserve">             - โครงการก่อสร้างถนนคอนกรีตเสริมเหล็ก ม.16 </t>
  </si>
  <si>
    <t xml:space="preserve">             - โครงการปรับปรุงถนนหินคลุกในเขต</t>
  </si>
  <si>
    <t xml:space="preserve">             เทศบาลตำบลรางหวาย</t>
  </si>
  <si>
    <t xml:space="preserve">             - โครงการปรับปรุงภูมิทัศน์โดยรอบศาลา</t>
  </si>
  <si>
    <t xml:space="preserve">             เอนกประสงค์ ม.2 บ้านรางหวาย</t>
  </si>
  <si>
    <t xml:space="preserve">             - โครงการปรับปรุงเพิ่มประสิทธิภาพการบริหาร</t>
  </si>
  <si>
    <t xml:space="preserve">             (Submersible Pump)ขนาด2.0 แรงม้า</t>
  </si>
  <si>
    <t xml:space="preserve">             - เครื่องสูบน้ำไฟฟ้าแบบมอเตอร์จมใต้น้ำ</t>
  </si>
  <si>
    <t xml:space="preserve">             (Submersible Pump)ขนาด 1.5 แรงม้า</t>
  </si>
  <si>
    <t xml:space="preserve">          ค่าติกดตั้งระบบประปาและอุปกรณ์ ซึ่งเป็นการติด</t>
  </si>
  <si>
    <t xml:space="preserve">          ตั้งครั้งแรกในอาคารหรือสถานที่ราชการพร้อมการก่อ</t>
  </si>
  <si>
    <t xml:space="preserve">          สร้างหรือภายหลังการก่อสร้าง</t>
  </si>
  <si>
    <t xml:space="preserve">          กรองน้ำ ม.18 นาทราย</t>
  </si>
  <si>
    <t xml:space="preserve">             - โครงการขุดเจาะบ่อบาดาลพร้อมติดตั้งถังเหล็ก</t>
  </si>
  <si>
    <t xml:space="preserve">             - โครงการขุดเจาะบ่อบาดาลพร้อมร้อย้ายหอถัง</t>
  </si>
  <si>
    <t xml:space="preserve">             ประปาเหล็ก ความจุน้ำไม่น้อยกว่า 12ลูกบาศก์เมตร </t>
  </si>
  <si>
    <t xml:space="preserve">             หมู่ที่ 19 บ้านดอนกลาง</t>
  </si>
  <si>
    <t xml:space="preserve">             - โครงการปรับปรุงและขยายเขตท่อเมนระบบ</t>
  </si>
  <si>
    <t xml:space="preserve">             ประปาหมู่บ้าน สายผู้ช่วยวินัย มณฎาทัศน์ </t>
  </si>
  <si>
    <t xml:space="preserve">             หมู่ที่ 8 ย้านโกช้าย</t>
  </si>
  <si>
    <t xml:space="preserve">             ประปาหมู่บ้าน ม.14</t>
  </si>
  <si>
    <t xml:space="preserve">             - โครงการร้อย้ายพร้อมติดตั้งหอถังประปาเหล็ก </t>
  </si>
  <si>
    <t xml:space="preserve">             ความจุน้ำไม่น้อยกว่า12 ลูกบาศก์เมตร </t>
  </si>
  <si>
    <t xml:space="preserve">             หมู่ที่ 10 บานรางทอง</t>
  </si>
  <si>
    <t xml:space="preserve">             - โครงการขยายท่อเมนประปาหมู่บ้านภายใน</t>
  </si>
  <si>
    <t xml:space="preserve">             ตำบลรางหวาย(บริเวณเชื่อมระหว่าง หมู่ที่ 18</t>
  </si>
  <si>
    <t xml:space="preserve">             บ้านนาทรายกับหมู่ที่ 3 บ้านลาดหมู</t>
  </si>
  <si>
    <t xml:space="preserve">             - โครงการปรับปรุงและขยายท่อเมนระบบ</t>
  </si>
  <si>
    <t xml:space="preserve">             ประปาหมู่บ้าน หมู่ที่ 18</t>
  </si>
  <si>
    <t xml:space="preserve">          เงินสมทบกองทุนบำเหน็จบำนาญข้าราชการ</t>
  </si>
  <si>
    <t xml:space="preserve">          ส่วนท้องถิ่น(กบท.)</t>
  </si>
  <si>
    <t xml:space="preserve">             - โครงการรัฐราษฎร์รางหวายร่วมใจป้องกันยา</t>
  </si>
  <si>
    <t>ประจำปีงบประมาณ พ.ศ. 2561</t>
  </si>
  <si>
    <t>ปี 2561</t>
  </si>
  <si>
    <t>-19.37%</t>
  </si>
  <si>
    <t>-34.42%</t>
  </si>
  <si>
    <t>-33.47%</t>
  </si>
  <si>
    <t>-46.67%</t>
  </si>
  <si>
    <t>79.34%</t>
  </si>
  <si>
    <t xml:space="preserve">             - โครงงการจัดงานวันคล้ายวันเฉลิมพระชนมพรรษา</t>
  </si>
  <si>
    <t xml:space="preserve">             และวันเฉลิมพระชนมพรรษา     </t>
  </si>
  <si>
    <t xml:space="preserve">             - โครงการเพิ่มศักยภาพการปฎิบัติงานของคณะ</t>
  </si>
  <si>
    <t xml:space="preserve">             ผู้บริหาร สมาชิกสภาเทศบาลเจ้าหน้าที่</t>
  </si>
  <si>
    <t xml:space="preserve">             ผู้บริหาร เกี่ยวกับขั้นตอนกระบวนการประชุมสภา</t>
  </si>
  <si>
    <t xml:space="preserve">             - โครงการสนันสนุนการจัดงานและเข้าร่วมงานรัฐพิธี </t>
  </si>
  <si>
    <t xml:space="preserve">             งานพระราชพิธี</t>
  </si>
  <si>
    <t xml:space="preserve">             - โครงการฝึกอบรมปรัชญาเศรษฐกิจพอเพียงตาม</t>
  </si>
  <si>
    <t xml:space="preserve">             แนวพระราชดำริและน้อมรำลึกพระคุณพ่อของแผ่น</t>
  </si>
  <si>
    <t xml:space="preserve">             ดิน</t>
  </si>
  <si>
    <t>-30.%</t>
  </si>
  <si>
    <t>-12.50%</t>
  </si>
  <si>
    <t>-5%</t>
  </si>
  <si>
    <t>-50%</t>
  </si>
  <si>
    <t>-5.45%</t>
  </si>
  <si>
    <t>-37.50%</t>
  </si>
  <si>
    <t>12.5%</t>
  </si>
  <si>
    <t>55.76%</t>
  </si>
  <si>
    <t xml:space="preserve">             - เก้าอี้</t>
  </si>
  <si>
    <t xml:space="preserve">             - เครื่องโทรศัพท์พื้นฐาน</t>
  </si>
  <si>
    <t xml:space="preserve">             - โต๊ะหมู่บูชา</t>
  </si>
  <si>
    <t xml:space="preserve">             - โซฟาพร้อมโต๊ะกระจก</t>
  </si>
  <si>
    <t xml:space="preserve">             - ถังต้มน้ำไฟฟ้า</t>
  </si>
  <si>
    <t xml:space="preserve">             - เครื่องโทรสาร</t>
  </si>
  <si>
    <t xml:space="preserve">             - โครงการประชุมเชิงปฏิบัติการเพื่อทบทวนแผน</t>
  </si>
  <si>
    <t xml:space="preserve">             แผนพัฒนาท้องถิ่นสี่ปี</t>
  </si>
  <si>
    <t>1.87%</t>
  </si>
  <si>
    <t>3.62%</t>
  </si>
  <si>
    <t>-80%</t>
  </si>
  <si>
    <t>980%</t>
  </si>
  <si>
    <t xml:space="preserve">             - โครงการจัดทำแผนที่ภาษีและทะเบียนทรัพย์</t>
  </si>
  <si>
    <t xml:space="preserve">             ขั้นตอนการสำรวจภาคสนาม</t>
  </si>
  <si>
    <t>-8.4%</t>
  </si>
  <si>
    <t>-30%</t>
  </si>
  <si>
    <t xml:space="preserve">             - ตู้เก็บเอกสารแบบเหล็กบานเลื่อน</t>
  </si>
  <si>
    <t xml:space="preserve">             - ตู้เก็บเอกสารแบบเหล็กปิด-เปิด2บาน</t>
  </si>
  <si>
    <t>66.67%</t>
  </si>
  <si>
    <r>
      <t xml:space="preserve">     </t>
    </r>
    <r>
      <rPr>
        <b/>
        <sz val="11"/>
        <color theme="1"/>
        <rFont val="TH SarabunPSK"/>
        <family val="2"/>
      </rPr>
      <t>งบบุคลากร</t>
    </r>
  </si>
  <si>
    <r>
      <t xml:space="preserve">     </t>
    </r>
    <r>
      <rPr>
        <b/>
        <sz val="11"/>
        <color theme="1"/>
        <rFont val="TH SarabunPSK"/>
        <family val="2"/>
      </rPr>
      <t>เงินเดือน(ฝ่ายประจำ)</t>
    </r>
  </si>
  <si>
    <t xml:space="preserve">          ค่าตอบแทนพนักงาน</t>
  </si>
  <si>
    <t xml:space="preserve">          ค่าตอบแทนผู้ปฏิบัติราชการอันเป็นประโยชน์แก่องค์</t>
  </si>
  <si>
    <t xml:space="preserve">          กรปกครองส่วนท้องถิ่น</t>
  </si>
  <si>
    <t xml:space="preserve">             เครื่องสูบน้ำ แบบท่อน้ำพญานาค</t>
  </si>
  <si>
    <t xml:space="preserve">             ป้ายสามเหลี่ยมหยุดตรวจ ขนิดโปร่งพร้อมอุปกรณ์</t>
  </si>
  <si>
    <t xml:space="preserve">             เครื่องสูบน้ำพร้อมอุปกรณ์ประกอบครุภัณฑ์อื่น</t>
  </si>
  <si>
    <t>42.86%</t>
  </si>
  <si>
    <t>-62.38%</t>
  </si>
  <si>
    <t>-20%</t>
  </si>
  <si>
    <t>150%</t>
  </si>
  <si>
    <t xml:space="preserve">             - ตู้เก็บเอกสารเหล็กทึบ</t>
  </si>
  <si>
    <t xml:space="preserve">             - ตู้เก็บเอกสารแบบเหล็กบานเลื่อนกระจก</t>
  </si>
  <si>
    <t>5.72%</t>
  </si>
  <si>
    <t>2.54%</t>
  </si>
  <si>
    <t>11.11%</t>
  </si>
  <si>
    <t>16.67%</t>
  </si>
  <si>
    <t xml:space="preserve">             - ตู้เย็น</t>
  </si>
  <si>
    <t xml:space="preserve">             - เครื่องคอมพิวเตอร์สำหรับสำนักงาน</t>
  </si>
  <si>
    <t xml:space="preserve">             - โครงการต่อเติมหลังคาเชื่อมระหว่างอาคารศพด.</t>
  </si>
  <si>
    <t xml:space="preserve">             บ้านหนองจอก</t>
  </si>
  <si>
    <t xml:space="preserve">             - โครงการติดตั้งประตูกระจกอลูมิเนียมพร้อมราง</t>
  </si>
  <si>
    <t xml:space="preserve">             เลื่อน ศพด.บ้านหนองจอกบ้านรางหวาย</t>
  </si>
  <si>
    <t xml:space="preserve">             - โครงการติดตั้งตาข่ายให้กับศพด.บ้านรางหวาย</t>
  </si>
  <si>
    <t>-1.85.%</t>
  </si>
  <si>
    <t xml:space="preserve">             - โครงการวันเด็กแห่งชาติ ประจำปี 2561</t>
  </si>
  <si>
    <t>5.04%</t>
  </si>
  <si>
    <t>-9.52%</t>
  </si>
  <si>
    <t>1,920%</t>
  </si>
  <si>
    <t xml:space="preserve">          วัสดุเครื่องแต่งกาย</t>
  </si>
  <si>
    <t xml:space="preserve">             - รถพยาบาลฉุกเฉิน</t>
  </si>
  <si>
    <t xml:space="preserve">             - โครงการ"บริหารจัดการศูนย์ รับ - ส่ง ผู้ป่วย"</t>
  </si>
  <si>
    <t xml:space="preserve">             - โครงการรณรงค์ควบคุมดูแบป้องกันและแก้ไขโรค</t>
  </si>
  <si>
    <t xml:space="preserve">             - โครงการ"ชุมชนสดใส..สุขภาพปลอดภัยห่างไกลเอดส์</t>
  </si>
  <si>
    <t xml:space="preserve">             - โครงการ"ฝึกอบรมเชิงปฏิบัติการการแพทย์ฉุกเฉิน</t>
  </si>
  <si>
    <t xml:space="preserve">             - โครงการ"รณรงค์ควบคุมป้องกันโรคไข้เลือดออก</t>
  </si>
  <si>
    <t xml:space="preserve">                    มาตรฐานสุขาภิบาลอาหาร ( CleanFood Good Taste)</t>
  </si>
  <si>
    <t xml:space="preserve">             - โครงการบริหารจัดการศูนย์รับ - ส่งผู้ป่วย ทต.</t>
  </si>
  <si>
    <t xml:space="preserve">             - โครงการสัตว์ปลอดโรค คนปลอดภัย จากพิษสุนัข</t>
  </si>
  <si>
    <t xml:space="preserve">             บ้าตามพระปณิธานสาสตราจารย์ ดร.สมเด็จพระเจ้า </t>
  </si>
  <si>
    <t xml:space="preserve">             ลูกเธอเจ้าฟ้าจุฬาภรวลัยลักษณ์ อัครราชกุมารี </t>
  </si>
  <si>
    <t xml:space="preserve">             - โครงการอนุรักษ์และพัฒนาสิ่งแวดล้อมภายใน รร.</t>
  </si>
  <si>
    <t xml:space="preserve">             - โครงการชุมชนสดใส สุขภาพปลอดภัยห่างไกลเอดส์</t>
  </si>
  <si>
    <t>-31.25%</t>
  </si>
  <si>
    <t>4.24%</t>
  </si>
  <si>
    <t>-45.45%</t>
  </si>
  <si>
    <t>-37.5%</t>
  </si>
  <si>
    <t>-18.18%</t>
  </si>
  <si>
    <t>191.67%</t>
  </si>
  <si>
    <t xml:space="preserve">             - โครงการจ้างเหมาก่อสร้างถนนคอนกรีตเสริมเหล้ก</t>
  </si>
  <si>
    <t xml:space="preserve">             สายหมู่ที่ 23 บ้านไร่ยาพัฒนา - หมู่ที่8บ้านโกช้าย </t>
  </si>
  <si>
    <t xml:space="preserve">             หมู่ 16 บ้านรางหวาย </t>
  </si>
  <si>
    <t xml:space="preserve">             หมู่ 19 บ้านดอนกลาง</t>
  </si>
  <si>
    <t xml:space="preserve">             หมู่ 4 บ้านหนองจอกเชื่อมหมู่ 19 บ้านดอนกลาง</t>
  </si>
  <si>
    <t xml:space="preserve">             ซอย 4 หมู่ที่ 16 บ้านรางหวาย</t>
  </si>
  <si>
    <t xml:space="preserve">             แอลฟัลท์ติกคอนกรีตเป็นถนนคอนกรีตเสริมเหล้ก</t>
  </si>
  <si>
    <t xml:space="preserve">             บริเวณหน้าซุ้มประตูทางเข้าวัดรางงหวาย หมู่ที่.2</t>
  </si>
  <si>
    <t xml:space="preserve">             - โครงการจ้างเหมาซ่อมแซมดาดคอนกรีตคลองส่ง</t>
  </si>
  <si>
    <t xml:space="preserve">             น้ำภายในเทศบาลตำบลรางหวาย</t>
  </si>
  <si>
    <t xml:space="preserve">             - โครงการจ้างเหมาปรับปรุงว่อมแซมถนนคอนกรีต</t>
  </si>
  <si>
    <t xml:space="preserve">             เสริมเหล็กพร้อมว่างท่อระบายน้ำและบ่อพัก สาย</t>
  </si>
  <si>
    <t xml:space="preserve">             บ้านผู้ช่วยผกา ทองนุ่ม หมู่ที่ 2 บ้านรางหวาย</t>
  </si>
  <si>
    <t xml:space="preserve">             - โครงการจ้างเหมาปรับปรุงซ่อมแซมถนนหินคลุก</t>
  </si>
  <si>
    <t xml:space="preserve">             ภายในตำบลรางหวาย</t>
  </si>
  <si>
    <t xml:space="preserve">             - โครงการจ้างเหมาปรับปรุงว่อมแซมถนนแอสฟัลท์</t>
  </si>
  <si>
    <t xml:space="preserve">             ติกคอนกรีตเป้นถนนคอนกรีตเสริมเหล็ก ภายในเขต</t>
  </si>
  <si>
    <t xml:space="preserve">             เทสบาลตำบลรางหวาย</t>
  </si>
  <si>
    <t xml:space="preserve">             - โครงการวางท่อระบายน้ำ คสล.พร้อมบ่อพัก คสล.</t>
  </si>
  <si>
    <t xml:space="preserve">             และเทคอนกรีตขยายถนนบริเวณบ้านนางปาน</t>
  </si>
  <si>
    <t xml:space="preserve">             แซ่โง้ว หมู่ที่ 6 บ้านดอนเตาอิฐ</t>
  </si>
  <si>
    <t xml:space="preserve">             - โครงการจ้างเหมาติดตั้งดวงโคมไฟฟ้าแสงสว่าง</t>
  </si>
  <si>
    <t xml:space="preserve">             สาธารณะริมถนน หมู่ที่ 12 บ้านวังกาบ</t>
  </si>
  <si>
    <t xml:space="preserve">             - โครงการจ้างเหมาติดตั้งไฟฟ้าแสงสว่างหลอดฟูล</t>
  </si>
  <si>
    <t xml:space="preserve">             ออเรสเซนภายในเขตเทสบาล</t>
  </si>
  <si>
    <t>-29.75%</t>
  </si>
  <si>
    <t xml:space="preserve">             - โครงการ"จัดอบรมเชิงปฏิบัติการการจัดการขยะ</t>
  </si>
  <si>
    <t xml:space="preserve">             อินทรีย์ครัวเรือนโดยการทำบ่อหมักแก๊สชีวภาพจาก</t>
  </si>
  <si>
    <t xml:space="preserve">            เศษอาหาร"</t>
  </si>
  <si>
    <t>-34.31%</t>
  </si>
  <si>
    <t xml:space="preserve">             - โครงการ"ปรับภูมิทัศน์บริเวณบ่อกำจัดขยะ</t>
  </si>
  <si>
    <t xml:space="preserve">             - โครงการ"ฝึกอบรมเรื่องการเลี้ยงไส้เดือนดินกำจัด</t>
  </si>
  <si>
    <t xml:space="preserve">             ขยะอินทรีย์และผลิตปุ๋ยมูลไส้เดือน</t>
  </si>
  <si>
    <t>-15.38%</t>
  </si>
  <si>
    <t xml:space="preserve">             - โครงการพัฒนาการเกษตรตามแนวทฤษฎีใหม่</t>
  </si>
  <si>
    <t xml:space="preserve">             โดยยึดปรัชญาเศรษฐกิจพอเพียง</t>
  </si>
  <si>
    <t xml:space="preserve">             - โครงการพัฒนาศักยภาพกลุ่มเยาวชนตำบล</t>
  </si>
  <si>
    <t xml:space="preserve">            รางหวาย</t>
  </si>
  <si>
    <t xml:space="preserve">             - โครงการพัฒนาศักยภาพสตรี</t>
  </si>
  <si>
    <t xml:space="preserve">             - โครงการวันผู้สูงอายุ</t>
  </si>
  <si>
    <t xml:space="preserve">             - โครงการส่งเสริมการสร้างเครือข่ายดูแลคนพิการ</t>
  </si>
  <si>
    <t xml:space="preserve">            ในตำบลรางหวาย</t>
  </si>
  <si>
    <t xml:space="preserve">             - โครงการส่งเสริมความรู้ด้านการออมทรัพย์</t>
  </si>
  <si>
    <t xml:space="preserve">             - โครงการส่งเสริมอาชีพเสริมให้กับประชาชน</t>
  </si>
  <si>
    <t xml:space="preserve">             - โครงการพัฒนาศักยภาพด้านร่างกายจิตใจ อารมณ์</t>
  </si>
  <si>
    <t xml:space="preserve">             และสังคมให้แก่ผู้สูงอายุ ตำบลรางหวาย</t>
  </si>
  <si>
    <t>งานบริหารงานทั่วไปเกี่ยวกับศาสนาวัฒนธรรมและนันทนาการ</t>
  </si>
  <si>
    <t>รวมงานบริหารทั่วไปเกี่ยวกับศาสนาวัฒนธรรมและนันทนาการ</t>
  </si>
  <si>
    <t xml:space="preserve">             - โครงการแข่งขันกีฬา"รางหวายคัพ"ประจำปี 2561</t>
  </si>
  <si>
    <t xml:space="preserve">             - โครงการวางท่อระบายน้ำ คสล.พร้อมก่อสร้างถนน</t>
  </si>
  <si>
    <t xml:space="preserve">             คอนกรีตเสริมเหล็ก หมู่ที่ 20 บ้านรางหวาย</t>
  </si>
  <si>
    <t>งานบริหารทั่วไปเกี่ยวกับอุตสาหกรรมและการโยธา</t>
  </si>
  <si>
    <t>รวมงานบริหารทั่วไปเกี่ยวกับอุตสาหกรรมและการโยธา</t>
  </si>
  <si>
    <t>งานอนุรักษ์แหล่งน้ำและป่าไม้</t>
  </si>
  <si>
    <t>รวมงานอนุรักษ์แหล่งน้ำและป่าไม้</t>
  </si>
  <si>
    <t xml:space="preserve">          ค่าตอบแทนผิปฎิบัติราชการอันเป็นประโยชน์</t>
  </si>
  <si>
    <t xml:space="preserve">             - เครื่องสูบน้ำไฟฟ้าแบบมอเตอร์จมน้ำ ขนาด1.5</t>
  </si>
  <si>
    <t xml:space="preserve">             - เครื่องสูบน้ำไฟฟ้าแบบมอเตอร์จมน้ำ ขนาด2.0</t>
  </si>
  <si>
    <t xml:space="preserve">             (Submersible Pump)ขนาด 2.0 แรงม้า</t>
  </si>
  <si>
    <t xml:space="preserve">          โครงการจ้างเหมาขยายท่อเมนประปาหมู่บ้านภายใน</t>
  </si>
  <si>
    <t xml:space="preserve">          จังหวัดกาญจนบุรี</t>
  </si>
  <si>
    <t xml:space="preserve">          โครงการจ้างเหมาปรับปรุงระบบประปาหมู่บ้าน</t>
  </si>
  <si>
    <t xml:space="preserve">          เขตเทศบาลตำบลรางหวาย อำเภอพนมทวน</t>
  </si>
  <si>
    <t xml:space="preserve">          หมู่ที่ 3 บ้านลาดหมู ตำบลรางหวาย อำเภอพนมทวน</t>
  </si>
  <si>
    <t>-14.94%</t>
  </si>
  <si>
    <t>-2.49%</t>
  </si>
  <si>
    <t>54.59%</t>
  </si>
  <si>
    <t>-2.3%</t>
  </si>
  <si>
    <t>-5.61%</t>
  </si>
  <si>
    <t>-3.51%</t>
  </si>
  <si>
    <t>7.83%</t>
  </si>
  <si>
    <t>2.94%</t>
  </si>
  <si>
    <t>ปี 2562</t>
  </si>
  <si>
    <t xml:space="preserve">             - โครงการปกป้องและเชิดชูสถาบันพระมหากษัตริย์ </t>
  </si>
  <si>
    <t xml:space="preserve">             - เก้าอี้ทำงานแบบล้อเลื่อน</t>
  </si>
  <si>
    <t xml:space="preserve">             - เครื่องเคลือบบัตร</t>
  </si>
  <si>
    <t xml:space="preserve">             - โต๊ะทำงานพร้อมกระจก</t>
  </si>
  <si>
    <t xml:space="preserve">             - เครื่องกรองน้ำ</t>
  </si>
  <si>
    <t xml:space="preserve">             - ค่าจ้างที่ปรึกษาเพื่อศึกษา วิจัยประเมินผล หรือ</t>
  </si>
  <si>
    <t xml:space="preserve">          พัฒนาระบบต่างๆ</t>
  </si>
  <si>
    <t xml:space="preserve">             - โครงการประชาคมเพื่อทบทวน/เพิ่ม/เติม/</t>
  </si>
  <si>
    <t xml:space="preserve">             เปลี่ยนแปลงแผนพัฒนาท้องถิ่นสี่ปี</t>
  </si>
  <si>
    <t xml:space="preserve">             - เครื่องพิมพ์แบบฉีดหมึกพร้อมติดตั้งถังหมึกพิมพ์(Ink Tank Printer)</t>
  </si>
  <si>
    <t xml:space="preserve">             - อุปกรณ์กระจ่ายสัญญาณไร้สาย(Access Point) แบบที่ 1</t>
  </si>
  <si>
    <t xml:space="preserve">             - อุปกรณ์จัดเก็บ Log File ระบบเครือข่าย แบบที่ 1</t>
  </si>
  <si>
    <t xml:space="preserve">             - ตู้สำหรับจัดเก็บเครื่องคอมพิวเตอร์และอุปกรณ์ แบบที่ 1 (ขนาด 36 u)</t>
  </si>
  <si>
    <t xml:space="preserve">             - โครงการเพิ่มประสิทธิภาพจัดเก็บภาษีและการออกบริการนอกสถานที่</t>
  </si>
  <si>
    <t xml:space="preserve">             - เก้าอี้ทำงานแบบมีล้อเลื่อน</t>
  </si>
  <si>
    <t xml:space="preserve">             - เครื่องทำลายเอกสาร</t>
  </si>
  <si>
    <t xml:space="preserve">             - เครื่องพิมพ์ชนิดเลเชอร์หรือชนิด LED ขาวดำ</t>
  </si>
  <si>
    <t xml:space="preserve">             ประจำปี</t>
  </si>
  <si>
    <t xml:space="preserve">             - โครงการซักซ้อมแผนป้องกันและบรรเทาสาธารณภัย</t>
  </si>
  <si>
    <t xml:space="preserve">          วัสดุเครื่องดับเพลิง</t>
  </si>
  <si>
    <t xml:space="preserve">             - ตู้เก็บเอกสารเหล้กบานเลื่อนแบบกระจก</t>
  </si>
  <si>
    <t xml:space="preserve">             - โต๊ะอาหารเด็กเล็กพร้อมเก้าอี้</t>
  </si>
  <si>
    <t xml:space="preserve">             - เครื่องพิมพ์แบบฉีดหมึก พร้อมติดตั้งถงหมึกพิมพ์ (Ink Tank Printer)</t>
  </si>
  <si>
    <t xml:space="preserve">             - โครงการก่อสร้างอ่างล้างมือพร้อมหลังคากันสาดให้กับศูนย์พัฒนาเด็กเล็กบ้านหนองจอก</t>
  </si>
  <si>
    <t xml:space="preserve">             - โครงการติดตั้งตาข่ายให้กับศูนย์พัฒนาเด็กเล็กบ้านหนองจอก</t>
  </si>
  <si>
    <t xml:space="preserve">             - โครงการก่อสร้างรั้วและประตูศูนย์พัฒนาเด็กเล็กบ้านดอนเตาอิฐ</t>
  </si>
  <si>
    <t xml:space="preserve">             - โครงการต่อเติมอาคาร,หลังคาฯให้กับศูนย์พัฒนาเด็กเล็กบ้านดอนเตาอิฐ</t>
  </si>
  <si>
    <t xml:space="preserve">             - โครงการวันเด็กแห่งชาติ ประจำปี 2562</t>
  </si>
  <si>
    <t xml:space="preserve">             - รถจักรยานยนต์</t>
  </si>
  <si>
    <t xml:space="preserve">             - โครงการรณรงค์รักเป็นปลอดภัย ใส่ใจคนรัก </t>
  </si>
  <si>
    <t xml:space="preserve">             - โครงการเผยแพร่ความรู้ด้านกฎหมายสาธารณสุข </t>
  </si>
  <si>
    <t xml:space="preserve">             - เครื่องสำรองไฟฟ้าขนาด 1 Kva</t>
  </si>
  <si>
    <t>รวมงานบริหารทั่วไปเกี่ยวกับสังคมสงเคราะห์</t>
  </si>
  <si>
    <t xml:space="preserve">          รายจ่ายเกี่ยวเนื่องกับการปฏิบัติราชการที่ไม่เข้าลักษณะรายจ่ายหมวดอื่นๆ</t>
  </si>
  <si>
    <t xml:space="preserve">             - โครงการดูแลและฟื้นฟูสมรรถภาพร่างกายให้แก่คนพิการในตำบลรางหวาย</t>
  </si>
  <si>
    <t xml:space="preserve"> </t>
  </si>
  <si>
    <t xml:space="preserve">          -เก้าอี้ทำงานแบบมีล้อเลื่อน</t>
  </si>
  <si>
    <t xml:space="preserve">          -เครื่องโทรศัพท์</t>
  </si>
  <si>
    <t xml:space="preserve">          -เครื่องคอมพิวเตอร์สำหรับสำนักงาน</t>
  </si>
  <si>
    <t xml:space="preserve">          ค่าชดเชยผลอาสิน</t>
  </si>
  <si>
    <t xml:space="preserve">             - ค่าชดเชยค่างานสิ่งก่อสร้างแบบปรับราคาได้</t>
  </si>
  <si>
    <t xml:space="preserve">             - โครงการก่อสร้างถนนคอนกรีตเสริมเหล็กสายชุกพี้</t>
  </si>
  <si>
    <t xml:space="preserve">             บริเวณบ้านนายสมชาย - บ้านนางเมียง หมู่ที่ 3 บ้านลาดหมู</t>
  </si>
  <si>
    <t xml:space="preserve">             - โครงการก่อสร้างถนนคอนกรีตเสริมเหล็กสายเลียบคลองชลประทาน</t>
  </si>
  <si>
    <t xml:space="preserve">             หมู่ที่ 17 บ้านป่าไม้โยน</t>
  </si>
  <si>
    <t xml:space="preserve">             - โครงการซ่อมแซมดาดคอนกรีตคลองส่งน้ำ</t>
  </si>
  <si>
    <t xml:space="preserve">             - โครงการซ่อมแซมถนนคอนแอสฟัลท์ติกคอนกรีต</t>
  </si>
  <si>
    <t xml:space="preserve">             ภายในเขตเทศตำบลรางหวาย</t>
  </si>
  <si>
    <t xml:space="preserve">             ริมถนน ม.11บ้านหัวเขา </t>
  </si>
  <si>
    <t xml:space="preserve">             ริมถนน ม.6บ้านดอนเตาอิฐ </t>
  </si>
  <si>
    <t xml:space="preserve">             - โครงการลงหินคลุกภายในเขตเทศบาลตำบลรางหวาย</t>
  </si>
  <si>
    <t xml:space="preserve">             - โครงการก่อสร้างถนนคอนกรีตเสริมเหล็กซอยบ้าน</t>
  </si>
  <si>
    <t xml:space="preserve">             นายปัญญา  โตแก้ว </t>
  </si>
  <si>
    <t xml:space="preserve">             - โครงการทำปุ๋ยหมักชีวภาพ</t>
  </si>
  <si>
    <t xml:space="preserve">             - โครงการอนุรักษ์และพัฒนาสิ่งแวดล้อม</t>
  </si>
  <si>
    <t xml:space="preserve">             - โครงการปรับภูมิทัศน์บริเวณบ่อกำจัด</t>
  </si>
  <si>
    <t xml:space="preserve">             - โครงการพัฒนาศักยภาพผู้สูงอายุ</t>
  </si>
  <si>
    <t xml:space="preserve">             - โครงการอบรมและศึกษาดูงานเพื่อพัฒนาศักยภาพ</t>
  </si>
  <si>
    <t xml:space="preserve">             ด้านร่างกาย จิตใจและสังคมให้แก่ผู้สูงอายุตำบลรางหวาย</t>
  </si>
  <si>
    <t xml:space="preserve">             - โครงการส่งเสริมอาชีพเสริมให้กับประชาชนในตำบลรางหวาย</t>
  </si>
  <si>
    <t xml:space="preserve">         เงินเดือนพนักงาน</t>
  </si>
  <si>
    <t xml:space="preserve">             - โครงการแข่งขันกีฬา"รางหวายคัพ"</t>
  </si>
  <si>
    <t xml:space="preserve">             - ค่าบำรุงรักษาและปรับปรุงครุภัณฑ์</t>
  </si>
  <si>
    <t xml:space="preserve">             - โครงการติดตั้งเครื่องออกกำลังกายหมู่ที่ 14 บ้านวังกุ่ม</t>
  </si>
  <si>
    <t xml:space="preserve">             - เครื่องสูบน้ำไฟฟ้าแบบมอเตอร์จมใต้น้ำ ขนาด1.5แรงม้า</t>
  </si>
  <si>
    <t xml:space="preserve">             - เครื่องสูบน้ำไฟฟ้าแบบมอเตอร์จมใต้น้ำ ขนาด2.0แรงม้า</t>
  </si>
  <si>
    <t xml:space="preserve">             - เครื่องสูบน้ำไฟฟ้าแบบมอเตอร์จมใต้น้ำ ขนาด1.0แรงม้า</t>
  </si>
  <si>
    <t xml:space="preserve">             - ค่าเช่าที่ดิน</t>
  </si>
  <si>
    <t xml:space="preserve">             - ค่าบำรุงสมาคมสันนิบาตเทศบาลแห่งประเทศไทย</t>
  </si>
  <si>
    <t xml:space="preserve">             - เงินสมทบกองทุนหลักประกันสุขภาพ</t>
  </si>
  <si>
    <t>-47.92%</t>
  </si>
  <si>
    <t>-42.68%</t>
  </si>
  <si>
    <t>34.75%</t>
  </si>
  <si>
    <t>-92%</t>
  </si>
  <si>
    <t>-13.46%</t>
  </si>
  <si>
    <t>-60%</t>
  </si>
  <si>
    <t xml:space="preserve">          -ตู้เก็บเอกสารแบบประตูเปืด-ปิด2บาน</t>
  </si>
  <si>
    <t xml:space="preserve">             - โครงการจ้างเหมาปรับปรุงถนนคอนกรีตเสริมเหล็ก</t>
  </si>
  <si>
    <t xml:space="preserve">             หมู่ที่ 8 บ้านโกช้าย</t>
  </si>
  <si>
    <t xml:space="preserve">             สายหมู่ที่ 23 บ้านไร่ยาพัฒนา</t>
  </si>
  <si>
    <t xml:space="preserve">          กรองน้ำ ม.22</t>
  </si>
  <si>
    <t xml:space="preserve">             - โครงการย้ายหอถังประปาม.17</t>
  </si>
  <si>
    <t xml:space="preserve">          กรองน้ำ ม.20</t>
  </si>
  <si>
    <t xml:space="preserve">          กรองน้ำ ม8</t>
  </si>
  <si>
    <t xml:space="preserve">             - โครงการก่อสร้างถนนคอนกรีตเสริมเหล็ก ม.3 </t>
  </si>
  <si>
    <t xml:space="preserve">             บ้านดอนกลาง</t>
  </si>
  <si>
    <t xml:space="preserve">             - โครงการขุดลอกคลองระบายน้ำ</t>
  </si>
  <si>
    <t xml:space="preserve">             ประจำปี </t>
  </si>
  <si>
    <t>รายจ่ายจริง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</si>
</sst>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%"/>
  </numFmts>
  <fonts count="1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color theme="1"/>
      <name val="TH SarabunPSK"/>
      <family val="2"/>
    </font>
    <font>
      <sz val="9.5"/>
      <color theme="1"/>
      <name val="TH SarabunPSK"/>
      <family val="2"/>
    </font>
    <font>
      <b/>
      <sz val="10"/>
      <color theme="1"/>
      <name val="TH SarabunPSK"/>
      <family val="2"/>
    </font>
    <font>
      <b/>
      <sz val="9"/>
      <color theme="1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0" xfId="0" applyFont="1"/>
    <xf numFmtId="0" fontId="2" fillId="0" borderId="1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/>
    <xf numFmtId="0" fontId="4" fillId="0" borderId="6" xfId="0" applyFont="1" applyBorder="1"/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right"/>
    </xf>
    <xf numFmtId="0" fontId="4" fillId="0" borderId="0" xfId="0" applyFont="1"/>
    <xf numFmtId="0" fontId="1" fillId="0" borderId="0" xfId="0" applyFont="1"/>
    <xf numFmtId="0" fontId="4" fillId="0" borderId="7" xfId="0" applyFont="1" applyBorder="1" applyAlignment="1"/>
    <xf numFmtId="0" fontId="2" fillId="0" borderId="1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9" xfId="0" applyBorder="1"/>
    <xf numFmtId="0" fontId="2" fillId="0" borderId="0" xfId="0" applyFont="1" applyBorder="1" applyAlignment="1"/>
    <xf numFmtId="0" fontId="0" fillId="0" borderId="0" xfId="0" applyFont="1" applyBorder="1"/>
    <xf numFmtId="0" fontId="2" fillId="0" borderId="12" xfId="0" applyFont="1" applyBorder="1"/>
    <xf numFmtId="0" fontId="2" fillId="0" borderId="12" xfId="0" applyFont="1" applyBorder="1" applyAlignment="1"/>
    <xf numFmtId="0" fontId="0" fillId="0" borderId="12" xfId="0" applyFont="1" applyBorder="1"/>
    <xf numFmtId="0" fontId="4" fillId="0" borderId="12" xfId="0" applyFont="1" applyBorder="1" applyAlignment="1">
      <alignment horizontal="right"/>
    </xf>
    <xf numFmtId="0" fontId="0" fillId="0" borderId="0" xfId="0" applyBorder="1"/>
    <xf numFmtId="0" fontId="2" fillId="0" borderId="12" xfId="0" applyFont="1" applyBorder="1" applyAlignment="1">
      <alignment horizontal="left"/>
    </xf>
    <xf numFmtId="0" fontId="0" fillId="0" borderId="12" xfId="0" applyBorder="1"/>
    <xf numFmtId="0" fontId="2" fillId="0" borderId="5" xfId="0" applyFont="1" applyBorder="1" applyAlignment="1">
      <alignment horizontal="left" vertical="center"/>
    </xf>
    <xf numFmtId="0" fontId="4" fillId="0" borderId="5" xfId="0" applyFont="1" applyBorder="1"/>
    <xf numFmtId="0" fontId="2" fillId="0" borderId="1" xfId="0" applyFont="1" applyBorder="1" applyAlignment="1">
      <alignment horizontal="center"/>
    </xf>
    <xf numFmtId="43" fontId="2" fillId="0" borderId="10" xfId="1" applyFont="1" applyBorder="1"/>
    <xf numFmtId="43" fontId="2" fillId="0" borderId="9" xfId="1" applyFont="1" applyBorder="1"/>
    <xf numFmtId="43" fontId="2" fillId="0" borderId="1" xfId="1" applyFont="1" applyBorder="1"/>
    <xf numFmtId="43" fontId="2" fillId="0" borderId="6" xfId="1" applyFont="1" applyBorder="1"/>
    <xf numFmtId="43" fontId="2" fillId="0" borderId="7" xfId="1" applyFont="1" applyBorder="1"/>
    <xf numFmtId="9" fontId="2" fillId="0" borderId="1" xfId="1" applyNumberFormat="1" applyFont="1" applyBorder="1" applyAlignment="1">
      <alignment horizontal="center"/>
    </xf>
    <xf numFmtId="43" fontId="4" fillId="0" borderId="1" xfId="1" applyFont="1" applyBorder="1"/>
    <xf numFmtId="43" fontId="4" fillId="0" borderId="7" xfId="1" applyFont="1" applyBorder="1"/>
    <xf numFmtId="10" fontId="2" fillId="0" borderId="1" xfId="1" applyNumberFormat="1" applyFont="1" applyBorder="1" applyAlignment="1">
      <alignment horizontal="center"/>
    </xf>
    <xf numFmtId="10" fontId="2" fillId="0" borderId="6" xfId="1" applyNumberFormat="1" applyFont="1" applyBorder="1" applyAlignment="1">
      <alignment horizontal="center"/>
    </xf>
    <xf numFmtId="9" fontId="2" fillId="0" borderId="6" xfId="1" applyNumberFormat="1" applyFont="1" applyBorder="1" applyAlignment="1">
      <alignment horizontal="center"/>
    </xf>
    <xf numFmtId="43" fontId="2" fillId="0" borderId="1" xfId="1" applyFont="1" applyBorder="1" applyAlignment="1"/>
    <xf numFmtId="43" fontId="2" fillId="0" borderId="7" xfId="1" applyFont="1" applyBorder="1" applyAlignment="1"/>
    <xf numFmtId="43" fontId="2" fillId="0" borderId="6" xfId="1" applyFont="1" applyBorder="1" applyAlignment="1"/>
    <xf numFmtId="43" fontId="2" fillId="0" borderId="1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43" fontId="4" fillId="0" borderId="10" xfId="1" applyFont="1" applyBorder="1"/>
    <xf numFmtId="43" fontId="4" fillId="0" borderId="9" xfId="1" applyFont="1" applyBorder="1"/>
    <xf numFmtId="43" fontId="4" fillId="0" borderId="1" xfId="1" applyFont="1" applyBorder="1" applyAlignment="1">
      <alignment horizontal="center"/>
    </xf>
    <xf numFmtId="9" fontId="2" fillId="0" borderId="7" xfId="1" applyNumberFormat="1" applyFont="1" applyBorder="1" applyAlignment="1">
      <alignment horizontal="center"/>
    </xf>
    <xf numFmtId="43" fontId="2" fillId="0" borderId="1" xfId="1" quotePrefix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2" fillId="0" borderId="7" xfId="1" quotePrefix="1" applyFont="1" applyBorder="1" applyAlignment="1">
      <alignment horizontal="center"/>
    </xf>
    <xf numFmtId="43" fontId="2" fillId="0" borderId="5" xfId="1" applyFont="1" applyBorder="1" applyAlignment="1"/>
    <xf numFmtId="43" fontId="0" fillId="0" borderId="5" xfId="1" applyFont="1" applyBorder="1" applyAlignment="1"/>
    <xf numFmtId="43" fontId="0" fillId="0" borderId="1" xfId="1" applyFont="1" applyBorder="1" applyAlignment="1"/>
    <xf numFmtId="43" fontId="2" fillId="0" borderId="12" xfId="1" applyFont="1" applyBorder="1" applyAlignment="1"/>
    <xf numFmtId="43" fontId="2" fillId="0" borderId="0" xfId="1" applyFont="1" applyBorder="1" applyAlignment="1"/>
    <xf numFmtId="43" fontId="4" fillId="0" borderId="7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2" fillId="0" borderId="6" xfId="1" quotePrefix="1" applyFont="1" applyBorder="1" applyAlignment="1">
      <alignment horizontal="center"/>
    </xf>
    <xf numFmtId="43" fontId="4" fillId="0" borderId="7" xfId="1" applyFont="1" applyBorder="1" applyAlignment="1"/>
    <xf numFmtId="43" fontId="4" fillId="0" borderId="1" xfId="1" applyFont="1" applyBorder="1" applyAlignment="1"/>
    <xf numFmtId="43" fontId="2" fillId="0" borderId="5" xfId="1" quotePrefix="1" applyFont="1" applyBorder="1" applyAlignment="1">
      <alignment horizontal="center"/>
    </xf>
    <xf numFmtId="10" fontId="2" fillId="0" borderId="7" xfId="1" applyNumberFormat="1" applyFont="1" applyBorder="1" applyAlignment="1">
      <alignment horizontal="center"/>
    </xf>
    <xf numFmtId="9" fontId="2" fillId="0" borderId="5" xfId="1" applyNumberFormat="1" applyFont="1" applyBorder="1" applyAlignment="1">
      <alignment horizontal="center"/>
    </xf>
    <xf numFmtId="43" fontId="4" fillId="0" borderId="5" xfId="1" applyFont="1" applyBorder="1" applyAlignment="1"/>
    <xf numFmtId="43" fontId="4" fillId="0" borderId="5" xfId="1" applyFont="1" applyBorder="1" applyAlignment="1">
      <alignment horizontal="center"/>
    </xf>
    <xf numFmtId="10" fontId="2" fillId="0" borderId="5" xfId="1" applyNumberFormat="1" applyFont="1" applyBorder="1" applyAlignment="1">
      <alignment horizontal="center"/>
    </xf>
    <xf numFmtId="43" fontId="4" fillId="0" borderId="6" xfId="1" applyFont="1" applyBorder="1"/>
    <xf numFmtId="43" fontId="4" fillId="0" borderId="6" xfId="1" applyFont="1" applyBorder="1" applyAlignment="1">
      <alignment horizontal="center"/>
    </xf>
    <xf numFmtId="43" fontId="4" fillId="0" borderId="6" xfId="1" applyFont="1" applyBorder="1" applyAlignment="1"/>
    <xf numFmtId="43" fontId="2" fillId="0" borderId="12" xfId="1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9" fontId="2" fillId="0" borderId="7" xfId="1" quotePrefix="1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43" fontId="2" fillId="0" borderId="6" xfId="1" applyFont="1" applyBorder="1" applyAlignment="1">
      <alignment horizontal="center"/>
    </xf>
    <xf numFmtId="43" fontId="2" fillId="0" borderId="5" xfId="1" quotePrefix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4" fillId="0" borderId="9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9" fontId="2" fillId="0" borderId="5" xfId="1" applyNumberFormat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5" xfId="1" quotePrefix="1" applyFont="1" applyBorder="1" applyAlignment="1">
      <alignment horizontal="center"/>
    </xf>
    <xf numFmtId="9" fontId="2" fillId="0" borderId="1" xfId="1" quotePrefix="1" applyNumberFormat="1" applyFont="1" applyBorder="1" applyAlignment="1">
      <alignment horizontal="center"/>
    </xf>
    <xf numFmtId="43" fontId="2" fillId="0" borderId="6" xfId="1" quotePrefix="1" applyFont="1" applyBorder="1" applyAlignment="1">
      <alignment horizontal="right"/>
    </xf>
    <xf numFmtId="9" fontId="2" fillId="0" borderId="6" xfId="1" applyNumberFormat="1" applyFont="1" applyBorder="1" applyAlignment="1">
      <alignment horizontal="center"/>
    </xf>
    <xf numFmtId="9" fontId="2" fillId="0" borderId="7" xfId="1" applyNumberFormat="1" applyFont="1" applyBorder="1" applyAlignment="1">
      <alignment horizontal="center"/>
    </xf>
    <xf numFmtId="43" fontId="4" fillId="0" borderId="0" xfId="1" applyFont="1" applyBorder="1" applyAlignment="1"/>
    <xf numFmtId="43" fontId="4" fillId="0" borderId="0" xfId="1" applyFont="1" applyBorder="1" applyAlignment="1">
      <alignment horizontal="center"/>
    </xf>
    <xf numFmtId="43" fontId="4" fillId="0" borderId="12" xfId="1" applyFont="1" applyBorder="1" applyAlignment="1"/>
    <xf numFmtId="43" fontId="4" fillId="0" borderId="12" xfId="1" applyFont="1" applyBorder="1" applyAlignment="1">
      <alignment horizontal="center"/>
    </xf>
    <xf numFmtId="10" fontId="2" fillId="0" borderId="1" xfId="1" quotePrefix="1" applyNumberFormat="1" applyFont="1" applyBorder="1" applyAlignment="1">
      <alignment horizontal="center"/>
    </xf>
    <xf numFmtId="9" fontId="2" fillId="0" borderId="5" xfId="1" quotePrefix="1" applyNumberFormat="1" applyFont="1" applyBorder="1" applyAlignment="1">
      <alignment horizontal="center"/>
    </xf>
    <xf numFmtId="43" fontId="2" fillId="0" borderId="12" xfId="1" quotePrefix="1" applyFont="1" applyBorder="1" applyAlignment="1">
      <alignment horizontal="center"/>
    </xf>
    <xf numFmtId="43" fontId="2" fillId="0" borderId="7" xfId="1" quotePrefix="1" applyFont="1" applyBorder="1" applyAlignment="1">
      <alignment horizontal="center"/>
    </xf>
    <xf numFmtId="9" fontId="2" fillId="0" borderId="6" xfId="1" quotePrefix="1" applyNumberFormat="1" applyFont="1" applyBorder="1" applyAlignment="1">
      <alignment horizontal="center"/>
    </xf>
    <xf numFmtId="9" fontId="2" fillId="0" borderId="0" xfId="1" applyNumberFormat="1" applyFont="1" applyBorder="1" applyAlignment="1">
      <alignment horizontal="center"/>
    </xf>
    <xf numFmtId="9" fontId="2" fillId="0" borderId="12" xfId="1" applyNumberFormat="1" applyFont="1" applyBorder="1" applyAlignment="1">
      <alignment horizontal="center"/>
    </xf>
    <xf numFmtId="9" fontId="4" fillId="0" borderId="1" xfId="1" applyNumberFormat="1" applyFont="1" applyBorder="1" applyAlignment="1">
      <alignment horizontal="center"/>
    </xf>
    <xf numFmtId="9" fontId="4" fillId="0" borderId="7" xfId="1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3" fontId="4" fillId="0" borderId="0" xfId="1" applyFont="1" applyBorder="1"/>
    <xf numFmtId="43" fontId="4" fillId="0" borderId="12" xfId="1" applyFont="1" applyBorder="1"/>
    <xf numFmtId="10" fontId="2" fillId="0" borderId="7" xfId="1" quotePrefix="1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9" fontId="4" fillId="0" borderId="7" xfId="0" applyNumberFormat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5" xfId="0" applyFont="1" applyBorder="1" applyAlignment="1">
      <alignment horizontal="right"/>
    </xf>
    <xf numFmtId="9" fontId="2" fillId="0" borderId="1" xfId="1" applyNumberFormat="1" applyFont="1" applyBorder="1" applyAlignment="1"/>
    <xf numFmtId="10" fontId="2" fillId="0" borderId="5" xfId="1" quotePrefix="1" applyNumberFormat="1" applyFont="1" applyBorder="1" applyAlignment="1">
      <alignment horizontal="center"/>
    </xf>
    <xf numFmtId="43" fontId="2" fillId="0" borderId="10" xfId="1" applyFont="1" applyBorder="1" applyAlignment="1"/>
    <xf numFmtId="43" fontId="2" fillId="0" borderId="4" xfId="1" applyFont="1" applyBorder="1" applyAlignment="1"/>
    <xf numFmtId="0" fontId="2" fillId="0" borderId="4" xfId="0" applyFont="1" applyBorder="1" applyAlignment="1"/>
    <xf numFmtId="43" fontId="4" fillId="0" borderId="4" xfId="1" applyFont="1" applyBorder="1" applyAlignment="1"/>
    <xf numFmtId="43" fontId="4" fillId="0" borderId="10" xfId="1" applyFont="1" applyBorder="1" applyAlignment="1"/>
    <xf numFmtId="43" fontId="2" fillId="0" borderId="11" xfId="1" applyFont="1" applyBorder="1" applyAlignment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9" fontId="2" fillId="0" borderId="5" xfId="1" applyNumberFormat="1" applyFont="1" applyBorder="1" applyAlignment="1">
      <alignment horizontal="center"/>
    </xf>
    <xf numFmtId="43" fontId="2" fillId="0" borderId="5" xfId="1" quotePrefix="1" applyFont="1" applyBorder="1" applyAlignment="1">
      <alignment horizontal="center"/>
    </xf>
    <xf numFmtId="43" fontId="2" fillId="0" borderId="6" xfId="1" quotePrefix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9" fontId="2" fillId="0" borderId="6" xfId="1" applyNumberFormat="1" applyFont="1" applyBorder="1" applyAlignment="1">
      <alignment horizontal="center"/>
    </xf>
    <xf numFmtId="9" fontId="2" fillId="0" borderId="7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2" fillId="0" borderId="5" xfId="1" quotePrefix="1" applyNumberFormat="1" applyFont="1" applyBorder="1" applyAlignment="1">
      <alignment horizontal="center"/>
    </xf>
    <xf numFmtId="43" fontId="2" fillId="0" borderId="7" xfId="1" quotePrefix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9" fontId="2" fillId="0" borderId="5" xfId="1" applyNumberFormat="1" applyFont="1" applyBorder="1" applyAlignment="1">
      <alignment horizontal="center"/>
    </xf>
    <xf numFmtId="9" fontId="2" fillId="0" borderId="7" xfId="1" applyNumberFormat="1" applyFont="1" applyBorder="1" applyAlignment="1">
      <alignment horizontal="center"/>
    </xf>
    <xf numFmtId="9" fontId="2" fillId="0" borderId="5" xfId="1" quotePrefix="1" applyNumberFormat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5" xfId="1" applyFont="1" applyBorder="1"/>
    <xf numFmtId="43" fontId="2" fillId="0" borderId="11" xfId="1" applyFont="1" applyBorder="1"/>
    <xf numFmtId="43" fontId="2" fillId="0" borderId="7" xfId="1" applyFont="1" applyBorder="1" applyAlignment="1">
      <alignment horizontal="center"/>
    </xf>
    <xf numFmtId="9" fontId="2" fillId="0" borderId="5" xfId="1" applyNumberFormat="1" applyFont="1" applyBorder="1" applyAlignment="1">
      <alignment horizontal="center"/>
    </xf>
    <xf numFmtId="43" fontId="2" fillId="0" borderId="5" xfId="1" quotePrefix="1" applyFont="1" applyBorder="1" applyAlignment="1">
      <alignment horizontal="center"/>
    </xf>
    <xf numFmtId="9" fontId="2" fillId="0" borderId="7" xfId="1" applyNumberFormat="1" applyFont="1" applyBorder="1" applyAlignment="1">
      <alignment horizontal="center"/>
    </xf>
    <xf numFmtId="9" fontId="2" fillId="0" borderId="5" xfId="1" quotePrefix="1" applyNumberFormat="1" applyFont="1" applyBorder="1" applyAlignment="1">
      <alignment horizontal="center"/>
    </xf>
    <xf numFmtId="43" fontId="2" fillId="0" borderId="7" xfId="1" quotePrefix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9" fontId="2" fillId="0" borderId="1" xfId="1" applyNumberFormat="1" applyFont="1" applyBorder="1" applyAlignment="1">
      <alignment horizontal="center"/>
    </xf>
    <xf numFmtId="187" fontId="2" fillId="0" borderId="7" xfId="1" quotePrefix="1" applyNumberFormat="1" applyFont="1" applyBorder="1" applyAlignment="1">
      <alignment horizontal="center"/>
    </xf>
    <xf numFmtId="9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9" fontId="2" fillId="0" borderId="5" xfId="1" applyNumberFormat="1" applyFont="1" applyBorder="1" applyAlignment="1">
      <alignment horizontal="center"/>
    </xf>
    <xf numFmtId="9" fontId="2" fillId="0" borderId="6" xfId="1" applyNumberFormat="1" applyFont="1" applyBorder="1" applyAlignment="1">
      <alignment horizontal="center"/>
    </xf>
    <xf numFmtId="9" fontId="2" fillId="0" borderId="7" xfId="1" applyNumberFormat="1" applyFont="1" applyBorder="1" applyAlignment="1">
      <alignment horizontal="center"/>
    </xf>
    <xf numFmtId="10" fontId="2" fillId="0" borderId="5" xfId="1" quotePrefix="1" applyNumberFormat="1" applyFont="1" applyBorder="1" applyAlignment="1">
      <alignment horizontal="center"/>
    </xf>
    <xf numFmtId="43" fontId="2" fillId="0" borderId="5" xfId="1" quotePrefix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9" fontId="2" fillId="0" borderId="5" xfId="1" quotePrefix="1" applyNumberFormat="1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7" xfId="1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6" xfId="1" quotePrefix="1" applyFont="1" applyBorder="1" applyAlignment="1">
      <alignment horizontal="center"/>
    </xf>
    <xf numFmtId="43" fontId="10" fillId="0" borderId="5" xfId="1" applyFont="1" applyBorder="1" applyAlignment="1">
      <alignment horizontal="center"/>
    </xf>
    <xf numFmtId="43" fontId="10" fillId="0" borderId="6" xfId="1" applyFont="1" applyBorder="1" applyAlignment="1">
      <alignment horizontal="center"/>
    </xf>
    <xf numFmtId="43" fontId="10" fillId="0" borderId="7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9" fontId="2" fillId="0" borderId="1" xfId="1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7" xfId="0" applyNumberFormat="1" applyFont="1" applyBorder="1" applyAlignment="1">
      <alignment horizontal="center"/>
    </xf>
    <xf numFmtId="10" fontId="2" fillId="0" borderId="5" xfId="1" applyNumberFormat="1" applyFont="1" applyBorder="1" applyAlignment="1">
      <alignment horizontal="center"/>
    </xf>
    <xf numFmtId="10" fontId="2" fillId="0" borderId="7" xfId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21"/>
  <sheetViews>
    <sheetView view="pageBreakPreview" topLeftCell="A4" zoomScale="120" zoomScaleNormal="90" zoomScaleSheetLayoutView="120" workbookViewId="0">
      <selection activeCell="A25" sqref="A25"/>
    </sheetView>
  </sheetViews>
  <sheetFormatPr defaultRowHeight="14.25"/>
  <cols>
    <col min="1" max="1" width="30.375" customWidth="1"/>
    <col min="2" max="2" width="16.625" customWidth="1"/>
    <col min="3" max="3" width="16.5" customWidth="1"/>
    <col min="4" max="4" width="16.625" customWidth="1"/>
    <col min="5" max="5" width="16.5" customWidth="1"/>
    <col min="6" max="6" width="12.75" customWidth="1"/>
    <col min="7" max="7" width="16.5" customWidth="1"/>
  </cols>
  <sheetData>
    <row r="1" spans="1:13" ht="24">
      <c r="A1" s="217" t="s">
        <v>0</v>
      </c>
      <c r="B1" s="217"/>
      <c r="C1" s="217"/>
      <c r="D1" s="217"/>
      <c r="E1" s="217"/>
      <c r="F1" s="217"/>
      <c r="G1" s="217"/>
      <c r="H1" s="1"/>
      <c r="I1" s="1"/>
      <c r="J1" s="1"/>
      <c r="K1" s="1"/>
      <c r="L1" s="1"/>
      <c r="M1" s="1"/>
    </row>
    <row r="2" spans="1:13" ht="24">
      <c r="A2" s="217" t="s">
        <v>416</v>
      </c>
      <c r="B2" s="217"/>
      <c r="C2" s="217"/>
      <c r="D2" s="217"/>
      <c r="E2" s="217"/>
      <c r="F2" s="217"/>
      <c r="G2" s="217"/>
      <c r="H2" s="1"/>
      <c r="I2" s="1"/>
      <c r="J2" s="1"/>
      <c r="K2" s="1"/>
      <c r="L2" s="1"/>
      <c r="M2" s="1"/>
    </row>
    <row r="3" spans="1:13" ht="24">
      <c r="A3" s="217" t="s">
        <v>1</v>
      </c>
      <c r="B3" s="217"/>
      <c r="C3" s="217"/>
      <c r="D3" s="217"/>
      <c r="E3" s="217"/>
      <c r="F3" s="217"/>
      <c r="G3" s="217"/>
      <c r="H3" s="1"/>
      <c r="I3" s="1"/>
      <c r="J3" s="1"/>
      <c r="K3" s="1"/>
      <c r="L3" s="1"/>
      <c r="M3" s="1"/>
    </row>
    <row r="4" spans="1:13" ht="24">
      <c r="A4" s="217" t="s">
        <v>2</v>
      </c>
      <c r="B4" s="217"/>
      <c r="C4" s="217"/>
      <c r="D4" s="217"/>
      <c r="E4" s="217"/>
      <c r="F4" s="217"/>
      <c r="G4" s="217"/>
      <c r="H4" s="1"/>
      <c r="I4" s="1"/>
      <c r="J4" s="1"/>
      <c r="K4" s="1"/>
      <c r="L4" s="1"/>
      <c r="M4" s="1"/>
    </row>
    <row r="5" spans="1:13" s="34" customFormat="1" ht="17.25">
      <c r="A5" s="218"/>
      <c r="B5" s="219" t="s">
        <v>3</v>
      </c>
      <c r="C5" s="219"/>
      <c r="D5" s="220"/>
      <c r="E5" s="221" t="s">
        <v>4</v>
      </c>
      <c r="F5" s="219"/>
      <c r="G5" s="220"/>
      <c r="H5" s="33"/>
      <c r="I5" s="33"/>
      <c r="J5" s="33"/>
      <c r="K5" s="33"/>
      <c r="L5" s="33"/>
      <c r="M5" s="33"/>
    </row>
    <row r="6" spans="1:13" s="34" customFormat="1" ht="17.25">
      <c r="A6" s="212"/>
      <c r="B6" s="160" t="s">
        <v>5</v>
      </c>
      <c r="C6" s="161" t="s">
        <v>6</v>
      </c>
      <c r="D6" s="159" t="s">
        <v>7</v>
      </c>
      <c r="E6" s="162" t="s">
        <v>9</v>
      </c>
      <c r="F6" s="161" t="s">
        <v>8</v>
      </c>
      <c r="G6" s="162" t="s">
        <v>417</v>
      </c>
      <c r="H6" s="33"/>
      <c r="I6" s="33"/>
      <c r="J6" s="33"/>
      <c r="K6" s="33"/>
      <c r="L6" s="33"/>
      <c r="M6" s="33"/>
    </row>
    <row r="7" spans="1:13" s="7" customFormat="1" ht="17.25">
      <c r="A7" s="11" t="s">
        <v>10</v>
      </c>
      <c r="B7" s="9"/>
      <c r="C7" s="8"/>
      <c r="D7" s="8"/>
      <c r="E7" s="10"/>
      <c r="F7" s="8"/>
      <c r="G7" s="10"/>
      <c r="H7" s="1"/>
      <c r="I7" s="1"/>
      <c r="J7" s="1"/>
      <c r="K7" s="1"/>
      <c r="L7" s="1"/>
      <c r="M7" s="1"/>
    </row>
    <row r="8" spans="1:13" s="7" customFormat="1" ht="17.25">
      <c r="A8" s="12" t="s">
        <v>11</v>
      </c>
      <c r="B8" s="2"/>
      <c r="C8" s="5"/>
      <c r="D8" s="5"/>
      <c r="E8" s="3"/>
      <c r="F8" s="5"/>
      <c r="G8" s="3"/>
      <c r="H8" s="1"/>
      <c r="I8" s="1"/>
      <c r="J8" s="1"/>
      <c r="K8" s="1"/>
      <c r="L8" s="1"/>
      <c r="M8" s="1"/>
    </row>
    <row r="9" spans="1:13" s="7" customFormat="1" ht="17.25">
      <c r="A9" s="11" t="s">
        <v>12</v>
      </c>
      <c r="B9" s="9"/>
      <c r="C9" s="8"/>
      <c r="D9" s="8"/>
      <c r="E9" s="10"/>
      <c r="F9" s="8"/>
      <c r="G9" s="10"/>
      <c r="H9" s="1"/>
      <c r="I9" s="1"/>
      <c r="J9" s="1"/>
      <c r="K9" s="1"/>
      <c r="L9" s="1"/>
      <c r="M9" s="1"/>
    </row>
    <row r="10" spans="1:13" s="7" customFormat="1" ht="17.25">
      <c r="A10" s="12" t="s">
        <v>13</v>
      </c>
      <c r="B10" s="2"/>
      <c r="C10" s="5"/>
      <c r="D10" s="5"/>
      <c r="E10" s="3"/>
      <c r="F10" s="5"/>
      <c r="G10" s="3"/>
      <c r="H10" s="1"/>
      <c r="I10" s="1"/>
      <c r="J10" s="1"/>
      <c r="K10" s="1"/>
      <c r="L10" s="1"/>
      <c r="M10" s="1"/>
    </row>
    <row r="11" spans="1:13" s="7" customFormat="1" ht="17.25">
      <c r="A11" s="8" t="s">
        <v>14</v>
      </c>
      <c r="B11" s="55">
        <v>695520</v>
      </c>
      <c r="C11" s="56">
        <v>695520</v>
      </c>
      <c r="D11" s="56">
        <v>695520</v>
      </c>
      <c r="E11" s="54">
        <v>695600</v>
      </c>
      <c r="F11" s="59">
        <v>0</v>
      </c>
      <c r="G11" s="54">
        <v>695600</v>
      </c>
      <c r="H11" s="1"/>
      <c r="I11" s="1"/>
      <c r="J11" s="1"/>
      <c r="K11" s="1"/>
      <c r="L11" s="1"/>
      <c r="M11" s="1"/>
    </row>
    <row r="12" spans="1:13" s="7" customFormat="1" ht="17.25">
      <c r="A12" s="13" t="s">
        <v>15</v>
      </c>
      <c r="B12" s="200">
        <v>120000</v>
      </c>
      <c r="C12" s="200">
        <v>120000</v>
      </c>
      <c r="D12" s="200">
        <v>120000</v>
      </c>
      <c r="E12" s="215">
        <v>120000</v>
      </c>
      <c r="F12" s="203">
        <v>0</v>
      </c>
      <c r="G12" s="200">
        <v>120000</v>
      </c>
      <c r="H12" s="1"/>
      <c r="I12" s="1"/>
      <c r="J12" s="1"/>
      <c r="K12" s="1"/>
      <c r="L12" s="1"/>
      <c r="M12" s="1"/>
    </row>
    <row r="13" spans="1:13" s="7" customFormat="1" ht="17.25">
      <c r="A13" s="14" t="s">
        <v>16</v>
      </c>
      <c r="B13" s="202"/>
      <c r="C13" s="202"/>
      <c r="D13" s="202"/>
      <c r="E13" s="216"/>
      <c r="F13" s="202"/>
      <c r="G13" s="202"/>
      <c r="H13" s="1"/>
      <c r="I13" s="1"/>
      <c r="J13" s="1"/>
      <c r="K13" s="1"/>
      <c r="L13" s="1"/>
      <c r="M13" s="1"/>
    </row>
    <row r="14" spans="1:13" s="7" customFormat="1" ht="17.25">
      <c r="A14" s="4" t="s">
        <v>17</v>
      </c>
      <c r="B14" s="55">
        <v>120000</v>
      </c>
      <c r="C14" s="56">
        <v>120000</v>
      </c>
      <c r="D14" s="56">
        <v>120000</v>
      </c>
      <c r="E14" s="54">
        <v>120000</v>
      </c>
      <c r="F14" s="59">
        <v>0</v>
      </c>
      <c r="G14" s="54">
        <v>120000</v>
      </c>
      <c r="H14" s="1"/>
      <c r="I14" s="1"/>
      <c r="J14" s="1"/>
      <c r="K14" s="1"/>
      <c r="L14" s="1"/>
      <c r="M14" s="1"/>
    </row>
    <row r="15" spans="1:13" s="7" customFormat="1" ht="17.25">
      <c r="A15" s="4" t="s">
        <v>18</v>
      </c>
      <c r="B15" s="200">
        <v>198720</v>
      </c>
      <c r="C15" s="200">
        <v>198720</v>
      </c>
      <c r="D15" s="200">
        <v>198720</v>
      </c>
      <c r="E15" s="200">
        <v>198720</v>
      </c>
      <c r="F15" s="203">
        <v>0</v>
      </c>
      <c r="G15" s="200">
        <v>198720</v>
      </c>
      <c r="H15" s="1"/>
      <c r="I15" s="1"/>
      <c r="J15" s="1"/>
      <c r="K15" s="1"/>
      <c r="L15" s="1"/>
      <c r="M15" s="1"/>
    </row>
    <row r="16" spans="1:13" s="7" customFormat="1" ht="17.25">
      <c r="A16" s="5" t="s">
        <v>19</v>
      </c>
      <c r="B16" s="201"/>
      <c r="C16" s="201"/>
      <c r="D16" s="201"/>
      <c r="E16" s="201"/>
      <c r="F16" s="201"/>
      <c r="G16" s="201"/>
      <c r="H16" s="1"/>
      <c r="I16" s="1"/>
      <c r="J16" s="1"/>
      <c r="K16" s="1"/>
      <c r="L16" s="1"/>
      <c r="M16" s="1"/>
    </row>
    <row r="17" spans="1:13" s="7" customFormat="1" ht="17.25">
      <c r="A17" s="6" t="s">
        <v>20</v>
      </c>
      <c r="B17" s="202"/>
      <c r="C17" s="202"/>
      <c r="D17" s="202"/>
      <c r="E17" s="202"/>
      <c r="F17" s="202"/>
      <c r="G17" s="202"/>
      <c r="H17" s="1"/>
      <c r="I17" s="1"/>
      <c r="J17" s="1"/>
      <c r="K17" s="1"/>
      <c r="L17" s="1"/>
      <c r="M17" s="1"/>
    </row>
    <row r="18" spans="1:13" s="7" customFormat="1" ht="17.25">
      <c r="A18" s="5" t="s">
        <v>21</v>
      </c>
      <c r="B18" s="200">
        <v>1488842</v>
      </c>
      <c r="C18" s="200">
        <v>1490400</v>
      </c>
      <c r="D18" s="200">
        <v>1490400</v>
      </c>
      <c r="E18" s="200">
        <v>1490400</v>
      </c>
      <c r="F18" s="203">
        <v>0</v>
      </c>
      <c r="G18" s="200">
        <v>1490400</v>
      </c>
      <c r="H18" s="1"/>
      <c r="I18" s="1"/>
      <c r="J18" s="1"/>
      <c r="K18" s="1"/>
      <c r="L18" s="1"/>
      <c r="M18" s="1"/>
    </row>
    <row r="19" spans="1:13" s="7" customFormat="1" ht="17.25">
      <c r="A19" s="6" t="s">
        <v>22</v>
      </c>
      <c r="B19" s="202"/>
      <c r="C19" s="202"/>
      <c r="D19" s="202"/>
      <c r="E19" s="202"/>
      <c r="F19" s="202"/>
      <c r="G19" s="202"/>
      <c r="H19" s="1"/>
      <c r="I19" s="1"/>
      <c r="J19" s="1"/>
      <c r="K19" s="1"/>
      <c r="L19" s="1"/>
    </row>
    <row r="20" spans="1:13" s="7" customFormat="1" ht="17.25">
      <c r="A20" s="16" t="s">
        <v>23</v>
      </c>
      <c r="B20" s="60">
        <f>SUM(B11:B19)</f>
        <v>2623082</v>
      </c>
      <c r="C20" s="60">
        <f>SUM(C11:C19)</f>
        <v>2624640</v>
      </c>
      <c r="D20" s="60">
        <f>SUM(D11:D19)</f>
        <v>2624640</v>
      </c>
      <c r="E20" s="60">
        <f>SUM(E11:E19)</f>
        <v>2624720</v>
      </c>
      <c r="F20" s="60"/>
      <c r="G20" s="60">
        <f>SUM(G11:G19)</f>
        <v>2624720</v>
      </c>
      <c r="H20" s="1"/>
      <c r="I20" s="1"/>
      <c r="J20" s="1"/>
      <c r="K20" s="1"/>
      <c r="L20" s="1"/>
    </row>
    <row r="21" spans="1:13" s="7" customFormat="1" ht="17.25">
      <c r="A21" s="12" t="s">
        <v>24</v>
      </c>
      <c r="B21" s="57"/>
      <c r="C21" s="57"/>
      <c r="D21" s="57"/>
      <c r="E21" s="57"/>
      <c r="F21" s="57"/>
      <c r="G21" s="57"/>
      <c r="H21" s="1"/>
      <c r="I21" s="1"/>
      <c r="J21" s="1"/>
      <c r="K21" s="1"/>
      <c r="L21" s="1"/>
    </row>
    <row r="22" spans="1:13" s="7" customFormat="1" ht="17.25">
      <c r="A22" s="8" t="s">
        <v>25</v>
      </c>
      <c r="B22" s="56">
        <v>2440273.16</v>
      </c>
      <c r="C22" s="56">
        <v>2858399.12</v>
      </c>
      <c r="D22" s="56">
        <v>3073498.8</v>
      </c>
      <c r="E22" s="56">
        <v>3493433</v>
      </c>
      <c r="F22" s="62">
        <v>-6.6500000000000004E-2</v>
      </c>
      <c r="G22" s="56">
        <v>3261000</v>
      </c>
      <c r="H22" s="1"/>
      <c r="I22" s="1"/>
      <c r="J22" s="1"/>
      <c r="K22" s="1"/>
      <c r="L22" s="1"/>
    </row>
    <row r="23" spans="1:13" s="7" customFormat="1" ht="17.25">
      <c r="A23" s="5" t="s">
        <v>26</v>
      </c>
      <c r="B23" s="57">
        <v>67200</v>
      </c>
      <c r="C23" s="57">
        <v>91933.33</v>
      </c>
      <c r="D23" s="57">
        <v>79800</v>
      </c>
      <c r="E23" s="57">
        <v>106513</v>
      </c>
      <c r="F23" s="63">
        <v>0.35189999999999999</v>
      </c>
      <c r="G23" s="57">
        <v>144000</v>
      </c>
      <c r="H23" s="1"/>
      <c r="I23" s="1"/>
      <c r="J23" s="1"/>
      <c r="K23" s="1"/>
      <c r="L23" s="1"/>
    </row>
    <row r="24" spans="1:13" s="7" customFormat="1" ht="17.25">
      <c r="A24" s="8" t="s">
        <v>27</v>
      </c>
      <c r="B24" s="56">
        <v>147690</v>
      </c>
      <c r="C24" s="56">
        <v>178130</v>
      </c>
      <c r="D24" s="56">
        <v>192360</v>
      </c>
      <c r="E24" s="56">
        <v>203600</v>
      </c>
      <c r="F24" s="62">
        <v>5.3999999999999999E-2</v>
      </c>
      <c r="G24" s="56">
        <v>214600</v>
      </c>
      <c r="H24" s="1"/>
      <c r="I24" s="1"/>
      <c r="J24" s="1"/>
      <c r="K24" s="1"/>
      <c r="L24" s="1"/>
    </row>
    <row r="25" spans="1:13" s="7" customFormat="1" ht="17.25">
      <c r="A25" s="5" t="s">
        <v>28</v>
      </c>
      <c r="B25" s="57">
        <v>860381</v>
      </c>
      <c r="C25" s="57">
        <v>902900</v>
      </c>
      <c r="D25" s="57">
        <v>1012560</v>
      </c>
      <c r="E25" s="57">
        <v>1008000</v>
      </c>
      <c r="F25" s="63">
        <v>-9.6699999999999994E-2</v>
      </c>
      <c r="G25" s="57">
        <v>910530</v>
      </c>
      <c r="H25" s="1"/>
      <c r="I25" s="1"/>
      <c r="J25" s="1"/>
      <c r="K25" s="1"/>
      <c r="L25" s="1"/>
    </row>
    <row r="26" spans="1:13" ht="17.25">
      <c r="A26" s="8" t="s">
        <v>32</v>
      </c>
      <c r="B26" s="56">
        <v>0</v>
      </c>
      <c r="C26" s="56">
        <v>120000</v>
      </c>
      <c r="D26" s="56">
        <v>111000</v>
      </c>
      <c r="E26" s="56">
        <v>108000</v>
      </c>
      <c r="F26" s="59">
        <v>-0.1111</v>
      </c>
      <c r="G26" s="56">
        <v>96000</v>
      </c>
      <c r="H26" s="1"/>
      <c r="I26" s="1"/>
      <c r="J26" s="1"/>
      <c r="K26" s="1"/>
      <c r="L26" s="1"/>
    </row>
    <row r="27" spans="1:13" ht="17.25">
      <c r="A27" s="5" t="s">
        <v>29</v>
      </c>
      <c r="B27" s="57">
        <v>67200</v>
      </c>
      <c r="C27" s="57">
        <v>67200</v>
      </c>
      <c r="D27" s="57">
        <v>79800</v>
      </c>
      <c r="E27" s="57">
        <v>84000</v>
      </c>
      <c r="F27" s="64">
        <v>0</v>
      </c>
      <c r="G27" s="57">
        <v>84000</v>
      </c>
      <c r="H27" s="1"/>
      <c r="I27" s="1"/>
      <c r="J27" s="1"/>
      <c r="K27" s="1"/>
      <c r="L27" s="1"/>
    </row>
    <row r="28" spans="1:13" ht="17.25">
      <c r="A28" s="16" t="s">
        <v>30</v>
      </c>
      <c r="B28" s="60">
        <f>SUM(B22:B27)</f>
        <v>3582744.16</v>
      </c>
      <c r="C28" s="60">
        <f>SUM(C22:C27)</f>
        <v>4218562.45</v>
      </c>
      <c r="D28" s="60">
        <f>SUM(D22:D27)</f>
        <v>4549018.8</v>
      </c>
      <c r="E28" s="60">
        <f>SUM(E22:E27)</f>
        <v>5003546</v>
      </c>
      <c r="F28" s="60"/>
      <c r="G28" s="60">
        <f>SUM(G22:G27)</f>
        <v>4710130</v>
      </c>
      <c r="H28" s="1"/>
      <c r="I28" s="1"/>
      <c r="J28" s="1"/>
      <c r="K28" s="1"/>
      <c r="L28" s="1"/>
    </row>
    <row r="29" spans="1:13" ht="17.25">
      <c r="A29" s="15" t="s">
        <v>31</v>
      </c>
      <c r="B29" s="61">
        <f>B20+B28</f>
        <v>6205826.1600000001</v>
      </c>
      <c r="C29" s="61">
        <f>C20+C28</f>
        <v>6843202.4500000002</v>
      </c>
      <c r="D29" s="61">
        <f>D20+D28</f>
        <v>7173658.7999999998</v>
      </c>
      <c r="E29" s="61">
        <f>E20+E28</f>
        <v>7628266</v>
      </c>
      <c r="F29" s="61"/>
      <c r="G29" s="61">
        <f>G20+G28</f>
        <v>7334850</v>
      </c>
      <c r="H29" s="1"/>
      <c r="I29" s="1"/>
      <c r="J29" s="1"/>
      <c r="K29" s="1"/>
      <c r="L29" s="1"/>
    </row>
    <row r="30" spans="1:13" s="34" customFormat="1" ht="17.25">
      <c r="A30" s="199"/>
      <c r="B30" s="199" t="s">
        <v>3</v>
      </c>
      <c r="C30" s="199"/>
      <c r="D30" s="199"/>
      <c r="E30" s="199" t="s">
        <v>4</v>
      </c>
      <c r="F30" s="199"/>
      <c r="G30" s="199"/>
      <c r="H30" s="33"/>
      <c r="I30" s="33"/>
      <c r="J30" s="33"/>
      <c r="K30" s="33"/>
      <c r="L30" s="33"/>
      <c r="M30" s="33"/>
    </row>
    <row r="31" spans="1:13" s="34" customFormat="1" ht="17.25">
      <c r="A31" s="199"/>
      <c r="B31" s="159" t="s">
        <v>5</v>
      </c>
      <c r="C31" s="159" t="s">
        <v>6</v>
      </c>
      <c r="D31" s="159" t="s">
        <v>7</v>
      </c>
      <c r="E31" s="159" t="s">
        <v>9</v>
      </c>
      <c r="F31" s="159" t="s">
        <v>8</v>
      </c>
      <c r="G31" s="159" t="s">
        <v>417</v>
      </c>
      <c r="H31" s="33"/>
      <c r="I31" s="33"/>
      <c r="J31" s="33"/>
      <c r="K31" s="33"/>
      <c r="L31" s="33"/>
      <c r="M31" s="33"/>
    </row>
    <row r="32" spans="1:13" s="7" customFormat="1" ht="17.25">
      <c r="A32" s="11" t="s">
        <v>33</v>
      </c>
      <c r="B32" s="9"/>
      <c r="C32" s="8"/>
      <c r="D32" s="8"/>
      <c r="E32" s="10"/>
      <c r="F32" s="8"/>
      <c r="G32" s="10"/>
      <c r="H32" s="1"/>
      <c r="I32" s="1"/>
      <c r="J32" s="1"/>
      <c r="K32" s="1"/>
      <c r="L32" s="1"/>
      <c r="M32" s="1"/>
    </row>
    <row r="33" spans="1:13" s="7" customFormat="1" ht="17.25">
      <c r="A33" s="12" t="s">
        <v>34</v>
      </c>
      <c r="B33" s="2"/>
      <c r="C33" s="5"/>
      <c r="D33" s="8"/>
      <c r="E33" s="3"/>
      <c r="F33" s="5"/>
      <c r="G33" s="3"/>
      <c r="H33" s="1"/>
      <c r="I33" s="1"/>
      <c r="J33" s="1"/>
      <c r="K33" s="1"/>
      <c r="L33" s="1"/>
      <c r="M33" s="1"/>
    </row>
    <row r="34" spans="1:13" s="7" customFormat="1" ht="17.25">
      <c r="A34" s="4" t="s">
        <v>38</v>
      </c>
      <c r="B34" s="200">
        <v>1356720.92</v>
      </c>
      <c r="C34" s="200">
        <v>507930</v>
      </c>
      <c r="D34" s="222">
        <v>539610</v>
      </c>
      <c r="E34" s="215">
        <v>226975</v>
      </c>
      <c r="F34" s="207" t="s">
        <v>418</v>
      </c>
      <c r="G34" s="200">
        <v>183000</v>
      </c>
      <c r="H34" s="1"/>
      <c r="I34" s="1"/>
      <c r="J34" s="1"/>
      <c r="K34" s="1"/>
      <c r="L34" s="1"/>
      <c r="M34" s="1"/>
    </row>
    <row r="35" spans="1:13" s="7" customFormat="1" ht="17.25">
      <c r="A35" s="6" t="s">
        <v>37</v>
      </c>
      <c r="B35" s="202"/>
      <c r="C35" s="202"/>
      <c r="D35" s="222"/>
      <c r="E35" s="216"/>
      <c r="F35" s="202"/>
      <c r="G35" s="202"/>
      <c r="H35" s="1"/>
      <c r="I35" s="1"/>
      <c r="J35" s="1"/>
      <c r="K35" s="1"/>
      <c r="L35" s="1"/>
      <c r="M35" s="1"/>
    </row>
    <row r="36" spans="1:13" s="7" customFormat="1" ht="17.25">
      <c r="A36" s="6" t="s">
        <v>35</v>
      </c>
      <c r="B36" s="55">
        <v>0</v>
      </c>
      <c r="C36" s="56">
        <v>0</v>
      </c>
      <c r="D36" s="56">
        <v>0</v>
      </c>
      <c r="E36" s="54">
        <v>10000</v>
      </c>
      <c r="F36" s="62">
        <v>-0.8</v>
      </c>
      <c r="G36" s="54">
        <v>2000</v>
      </c>
      <c r="H36" s="1"/>
      <c r="I36" s="1"/>
      <c r="J36" s="1"/>
      <c r="K36" s="1"/>
      <c r="L36" s="1"/>
      <c r="M36" s="1"/>
    </row>
    <row r="37" spans="1:13" s="7" customFormat="1" ht="17.25">
      <c r="A37" s="20" t="s">
        <v>36</v>
      </c>
      <c r="B37" s="65">
        <v>24000</v>
      </c>
      <c r="C37" s="65">
        <v>42000</v>
      </c>
      <c r="D37" s="65">
        <v>48000</v>
      </c>
      <c r="E37" s="153">
        <v>65500</v>
      </c>
      <c r="F37" s="119" t="s">
        <v>455</v>
      </c>
      <c r="G37" s="65">
        <v>60000</v>
      </c>
      <c r="H37" s="1"/>
      <c r="I37" s="1"/>
      <c r="J37" s="1"/>
      <c r="K37" s="1"/>
      <c r="L37" s="1"/>
      <c r="M37" s="1"/>
    </row>
    <row r="38" spans="1:13" s="7" customFormat="1" ht="17.25">
      <c r="A38" s="14" t="s">
        <v>39</v>
      </c>
      <c r="B38" s="66">
        <v>130086</v>
      </c>
      <c r="C38" s="66">
        <v>24000</v>
      </c>
      <c r="D38" s="65">
        <v>18695</v>
      </c>
      <c r="E38" s="154">
        <v>43000</v>
      </c>
      <c r="F38" s="105" t="s">
        <v>419</v>
      </c>
      <c r="G38" s="66">
        <v>28200</v>
      </c>
      <c r="H38" s="1"/>
      <c r="I38" s="1"/>
      <c r="J38" s="1"/>
      <c r="K38" s="1"/>
      <c r="L38" s="1"/>
      <c r="M38" s="1"/>
    </row>
    <row r="39" spans="1:13" s="7" customFormat="1" ht="17.25">
      <c r="A39" s="16" t="s">
        <v>40</v>
      </c>
      <c r="B39" s="72">
        <f>SUM(B34:B38)</f>
        <v>1510806.92</v>
      </c>
      <c r="C39" s="60">
        <f>SUM(C34:C38)</f>
        <v>573930</v>
      </c>
      <c r="D39" s="60">
        <f>SUM(D34:D38)</f>
        <v>606305</v>
      </c>
      <c r="E39" s="71">
        <f>SUM(E34:E38)</f>
        <v>345475</v>
      </c>
      <c r="F39" s="73"/>
      <c r="G39" s="71">
        <f>SUM(G34:G38)</f>
        <v>273200</v>
      </c>
      <c r="H39" s="1"/>
      <c r="I39" s="1"/>
      <c r="J39" s="1"/>
      <c r="K39" s="1"/>
      <c r="L39" s="1"/>
      <c r="M39" s="1"/>
    </row>
    <row r="40" spans="1:13" s="7" customFormat="1" ht="17.25">
      <c r="A40" s="11" t="s">
        <v>41</v>
      </c>
      <c r="B40" s="55"/>
      <c r="C40" s="56"/>
      <c r="D40" s="56"/>
      <c r="E40" s="54"/>
      <c r="F40" s="68"/>
      <c r="G40" s="54"/>
      <c r="H40" s="1"/>
      <c r="I40" s="1"/>
      <c r="J40" s="1"/>
      <c r="K40" s="1"/>
      <c r="L40" s="1"/>
      <c r="M40" s="1"/>
    </row>
    <row r="41" spans="1:13" s="7" customFormat="1" ht="17.25">
      <c r="A41" s="8" t="s">
        <v>42</v>
      </c>
      <c r="B41" s="65">
        <v>504000</v>
      </c>
      <c r="C41" s="65">
        <v>375390.3</v>
      </c>
      <c r="D41" s="65">
        <v>369400</v>
      </c>
      <c r="E41" s="153">
        <v>390800</v>
      </c>
      <c r="F41" s="75" t="s">
        <v>420</v>
      </c>
      <c r="G41" s="65">
        <v>260000</v>
      </c>
      <c r="H41" s="1"/>
      <c r="I41" s="1"/>
      <c r="J41" s="1"/>
      <c r="K41" s="1"/>
      <c r="L41" s="1"/>
      <c r="M41" s="1"/>
    </row>
    <row r="42" spans="1:13" s="7" customFormat="1" ht="17.25">
      <c r="A42" s="18" t="s">
        <v>43</v>
      </c>
      <c r="B42" s="66">
        <v>4150</v>
      </c>
      <c r="C42" s="66">
        <v>4500</v>
      </c>
      <c r="D42" s="65">
        <v>5150</v>
      </c>
      <c r="E42" s="154">
        <v>50000</v>
      </c>
      <c r="F42" s="75" t="s">
        <v>321</v>
      </c>
      <c r="G42" s="66">
        <v>45000</v>
      </c>
      <c r="H42" s="1"/>
      <c r="I42" s="1"/>
      <c r="J42" s="1"/>
      <c r="K42" s="1"/>
      <c r="L42" s="1"/>
      <c r="M42" s="1"/>
    </row>
    <row r="43" spans="1:13" s="7" customFormat="1" ht="17.25">
      <c r="A43" s="4" t="s">
        <v>44</v>
      </c>
      <c r="B43" s="200"/>
      <c r="C43" s="200"/>
      <c r="D43" s="200"/>
      <c r="E43" s="200"/>
      <c r="F43" s="200"/>
      <c r="G43" s="200"/>
      <c r="H43" s="1"/>
      <c r="I43" s="1"/>
      <c r="J43" s="1"/>
      <c r="K43" s="1"/>
      <c r="L43" s="1"/>
      <c r="M43" s="1"/>
    </row>
    <row r="44" spans="1:13" s="7" customFormat="1" ht="17.25">
      <c r="A44" s="6" t="s">
        <v>45</v>
      </c>
      <c r="B44" s="202"/>
      <c r="C44" s="202"/>
      <c r="D44" s="202"/>
      <c r="E44" s="202"/>
      <c r="F44" s="202"/>
      <c r="G44" s="202"/>
      <c r="H44" s="1"/>
      <c r="I44" s="1"/>
      <c r="J44" s="1"/>
      <c r="K44" s="1"/>
      <c r="L44" s="1"/>
    </row>
    <row r="45" spans="1:13" s="7" customFormat="1" ht="17.25">
      <c r="A45" s="22" t="s">
        <v>46</v>
      </c>
      <c r="B45" s="56">
        <v>55701.56</v>
      </c>
      <c r="C45" s="56">
        <f>41150+100000</f>
        <v>141150</v>
      </c>
      <c r="D45" s="56">
        <v>30000</v>
      </c>
      <c r="E45" s="56">
        <v>150000</v>
      </c>
      <c r="F45" s="75" t="s">
        <v>421</v>
      </c>
      <c r="G45" s="56">
        <v>80000</v>
      </c>
      <c r="H45" s="1"/>
      <c r="I45" s="1"/>
      <c r="J45" s="1"/>
      <c r="K45" s="1"/>
      <c r="L45" s="1"/>
    </row>
    <row r="46" spans="1:13" ht="17.25">
      <c r="A46" s="22" t="s">
        <v>48</v>
      </c>
      <c r="B46" s="58">
        <v>0</v>
      </c>
      <c r="C46" s="58">
        <v>0</v>
      </c>
      <c r="D46" s="58">
        <v>0</v>
      </c>
      <c r="E46" s="58">
        <v>167280</v>
      </c>
      <c r="F46" s="105" t="s">
        <v>422</v>
      </c>
      <c r="G46" s="58">
        <v>300000</v>
      </c>
    </row>
    <row r="47" spans="1:13" s="7" customFormat="1" ht="17.25">
      <c r="A47" s="8" t="s">
        <v>47</v>
      </c>
      <c r="B47" s="57">
        <v>0</v>
      </c>
      <c r="C47" s="57">
        <v>0</v>
      </c>
      <c r="D47" s="57">
        <v>0</v>
      </c>
      <c r="E47" s="57">
        <v>30000</v>
      </c>
      <c r="F47" s="75" t="s">
        <v>318</v>
      </c>
      <c r="G47" s="120">
        <v>0</v>
      </c>
      <c r="H47" s="1"/>
      <c r="I47" s="1"/>
      <c r="J47" s="1"/>
      <c r="K47" s="1"/>
      <c r="L47" s="1"/>
    </row>
    <row r="48" spans="1:13" s="7" customFormat="1" ht="17.25">
      <c r="A48" s="4" t="s">
        <v>423</v>
      </c>
      <c r="B48" s="200">
        <v>0</v>
      </c>
      <c r="C48" s="200">
        <v>0</v>
      </c>
      <c r="D48" s="200">
        <v>0</v>
      </c>
      <c r="E48" s="200">
        <v>0</v>
      </c>
      <c r="F48" s="203">
        <v>1</v>
      </c>
      <c r="G48" s="200">
        <v>100000</v>
      </c>
      <c r="H48" s="1"/>
      <c r="I48" s="1"/>
      <c r="J48" s="1"/>
      <c r="K48" s="1"/>
      <c r="L48" s="1"/>
    </row>
    <row r="49" spans="1:13" s="7" customFormat="1" ht="17.25">
      <c r="A49" s="6" t="s">
        <v>424</v>
      </c>
      <c r="B49" s="202"/>
      <c r="C49" s="202"/>
      <c r="D49" s="202"/>
      <c r="E49" s="202"/>
      <c r="F49" s="202"/>
      <c r="G49" s="202"/>
      <c r="H49" s="1"/>
      <c r="I49" s="1"/>
      <c r="J49" s="1"/>
      <c r="K49" s="1"/>
      <c r="L49" s="1"/>
    </row>
    <row r="50" spans="1:13" ht="17.25">
      <c r="A50" s="27" t="s">
        <v>293</v>
      </c>
      <c r="B50" s="200">
        <v>80000</v>
      </c>
      <c r="C50" s="200">
        <v>80000</v>
      </c>
      <c r="D50" s="200">
        <v>75000</v>
      </c>
      <c r="E50" s="200">
        <v>40000</v>
      </c>
      <c r="F50" s="211" t="s">
        <v>318</v>
      </c>
      <c r="G50" s="200">
        <v>0</v>
      </c>
    </row>
    <row r="51" spans="1:13" ht="17.25">
      <c r="A51" s="26" t="s">
        <v>294</v>
      </c>
      <c r="B51" s="202"/>
      <c r="C51" s="202"/>
      <c r="D51" s="202"/>
      <c r="E51" s="202"/>
      <c r="F51" s="202"/>
      <c r="G51" s="202"/>
    </row>
    <row r="52" spans="1:13" ht="17.25">
      <c r="A52" s="27" t="s">
        <v>425</v>
      </c>
      <c r="B52" s="200">
        <v>0</v>
      </c>
      <c r="C52" s="200">
        <v>0</v>
      </c>
      <c r="D52" s="200">
        <v>0</v>
      </c>
      <c r="E52" s="200">
        <v>0</v>
      </c>
      <c r="F52" s="203">
        <v>1</v>
      </c>
      <c r="G52" s="200">
        <v>120000</v>
      </c>
    </row>
    <row r="53" spans="1:13" ht="17.25">
      <c r="A53" s="6" t="s">
        <v>426</v>
      </c>
      <c r="B53" s="202"/>
      <c r="C53" s="202"/>
      <c r="D53" s="202"/>
      <c r="E53" s="202"/>
      <c r="F53" s="202"/>
      <c r="G53" s="202"/>
    </row>
    <row r="54" spans="1:13" ht="17.25">
      <c r="A54" s="27" t="s">
        <v>287</v>
      </c>
      <c r="B54" s="200">
        <v>15000</v>
      </c>
      <c r="C54" s="200">
        <v>15000</v>
      </c>
      <c r="D54" s="200">
        <v>0</v>
      </c>
      <c r="E54" s="200">
        <v>0</v>
      </c>
      <c r="F54" s="203">
        <v>1</v>
      </c>
      <c r="G54" s="200">
        <v>20000</v>
      </c>
    </row>
    <row r="55" spans="1:13" ht="17.25">
      <c r="A55" s="5" t="s">
        <v>427</v>
      </c>
      <c r="B55" s="201"/>
      <c r="C55" s="201"/>
      <c r="D55" s="201"/>
      <c r="E55" s="201"/>
      <c r="F55" s="201"/>
      <c r="G55" s="201"/>
    </row>
    <row r="56" spans="1:13" ht="17.25">
      <c r="A56" s="5" t="s">
        <v>288</v>
      </c>
      <c r="B56" s="201"/>
      <c r="C56" s="201"/>
      <c r="D56" s="201"/>
      <c r="E56" s="201"/>
      <c r="F56" s="201"/>
      <c r="G56" s="201"/>
    </row>
    <row r="57" spans="1:13" ht="17.25">
      <c r="A57" s="44"/>
      <c r="B57" s="103"/>
      <c r="C57" s="103"/>
      <c r="D57" s="103"/>
      <c r="E57" s="103"/>
      <c r="F57" s="103"/>
      <c r="G57" s="103"/>
    </row>
    <row r="58" spans="1:13" ht="17.25">
      <c r="A58" s="2"/>
      <c r="B58" s="80"/>
      <c r="C58" s="80"/>
      <c r="D58" s="80"/>
      <c r="E58" s="80"/>
      <c r="F58" s="80"/>
      <c r="G58" s="80"/>
    </row>
    <row r="59" spans="1:13" ht="17.25">
      <c r="A59" s="2"/>
      <c r="B59" s="80"/>
      <c r="C59" s="80"/>
      <c r="D59" s="80"/>
      <c r="E59" s="80"/>
      <c r="F59" s="80"/>
      <c r="G59" s="80"/>
    </row>
    <row r="60" spans="1:13" ht="17.25">
      <c r="A60" s="2"/>
      <c r="B60" s="80"/>
      <c r="C60" s="80"/>
      <c r="D60" s="80"/>
      <c r="E60" s="80"/>
      <c r="F60" s="80"/>
      <c r="G60" s="80"/>
    </row>
    <row r="61" spans="1:13" s="34" customFormat="1" ht="17.25">
      <c r="A61" s="199"/>
      <c r="B61" s="199" t="s">
        <v>3</v>
      </c>
      <c r="C61" s="199"/>
      <c r="D61" s="199"/>
      <c r="E61" s="199" t="s">
        <v>4</v>
      </c>
      <c r="F61" s="199"/>
      <c r="G61" s="199"/>
      <c r="H61" s="33"/>
      <c r="I61" s="33"/>
      <c r="J61" s="33"/>
      <c r="K61" s="33"/>
      <c r="L61" s="33"/>
      <c r="M61" s="33"/>
    </row>
    <row r="62" spans="1:13" s="34" customFormat="1" ht="17.25">
      <c r="A62" s="199"/>
      <c r="B62" s="159" t="s">
        <v>5</v>
      </c>
      <c r="C62" s="159" t="s">
        <v>6</v>
      </c>
      <c r="D62" s="159" t="s">
        <v>7</v>
      </c>
      <c r="E62" s="159" t="s">
        <v>9</v>
      </c>
      <c r="F62" s="159" t="s">
        <v>8</v>
      </c>
      <c r="G62" s="159" t="s">
        <v>417</v>
      </c>
      <c r="H62" s="33"/>
      <c r="I62" s="33"/>
      <c r="J62" s="33"/>
      <c r="K62" s="33"/>
      <c r="L62" s="33"/>
      <c r="M62" s="33"/>
    </row>
    <row r="63" spans="1:13" s="7" customFormat="1" ht="17.25">
      <c r="A63" s="4" t="s">
        <v>285</v>
      </c>
      <c r="B63" s="200">
        <v>60000</v>
      </c>
      <c r="C63" s="200">
        <v>60000</v>
      </c>
      <c r="D63" s="200">
        <v>0</v>
      </c>
      <c r="E63" s="200">
        <v>10000</v>
      </c>
      <c r="F63" s="203">
        <v>-1</v>
      </c>
      <c r="G63" s="200">
        <v>0</v>
      </c>
      <c r="H63" s="1"/>
      <c r="I63" s="1"/>
      <c r="J63" s="1"/>
      <c r="K63" s="1"/>
      <c r="L63" s="1"/>
    </row>
    <row r="64" spans="1:13" s="7" customFormat="1" ht="17.25">
      <c r="A64" s="5" t="s">
        <v>286</v>
      </c>
      <c r="B64" s="202"/>
      <c r="C64" s="202"/>
      <c r="D64" s="202"/>
      <c r="E64" s="202"/>
      <c r="F64" s="202"/>
      <c r="G64" s="202"/>
      <c r="H64" s="1"/>
      <c r="I64" s="1"/>
      <c r="J64" s="1"/>
      <c r="K64" s="1"/>
      <c r="L64" s="1"/>
    </row>
    <row r="65" spans="1:13" ht="17.25">
      <c r="A65" s="27" t="s">
        <v>291</v>
      </c>
      <c r="B65" s="200">
        <v>171140</v>
      </c>
      <c r="C65" s="200">
        <f>229960+350000</f>
        <v>579960</v>
      </c>
      <c r="D65" s="200">
        <v>0</v>
      </c>
      <c r="E65" s="200">
        <v>360000</v>
      </c>
      <c r="F65" s="203">
        <v>-1</v>
      </c>
      <c r="G65" s="200">
        <v>0</v>
      </c>
      <c r="H65" s="1"/>
      <c r="I65" s="1"/>
      <c r="J65" s="1"/>
      <c r="K65" s="1"/>
      <c r="L65" s="1"/>
    </row>
    <row r="66" spans="1:13" ht="17.25">
      <c r="A66" s="26" t="s">
        <v>292</v>
      </c>
      <c r="B66" s="201"/>
      <c r="C66" s="201"/>
      <c r="D66" s="201"/>
      <c r="E66" s="201"/>
      <c r="F66" s="204"/>
      <c r="G66" s="201"/>
      <c r="H66" s="1"/>
      <c r="I66" s="1"/>
      <c r="J66" s="1"/>
      <c r="K66" s="1"/>
      <c r="L66" s="1"/>
    </row>
    <row r="67" spans="1:13" ht="17.25">
      <c r="A67" s="5" t="s">
        <v>290</v>
      </c>
      <c r="B67" s="201"/>
      <c r="C67" s="201"/>
      <c r="D67" s="201"/>
      <c r="E67" s="201"/>
      <c r="F67" s="204"/>
      <c r="G67" s="201"/>
      <c r="H67" s="1"/>
      <c r="I67" s="1"/>
      <c r="J67" s="1"/>
      <c r="K67" s="1"/>
      <c r="L67" s="1"/>
    </row>
    <row r="68" spans="1:13" ht="17.25">
      <c r="A68" s="6" t="s">
        <v>289</v>
      </c>
      <c r="B68" s="202"/>
      <c r="C68" s="202"/>
      <c r="D68" s="202"/>
      <c r="E68" s="202"/>
      <c r="F68" s="205"/>
      <c r="G68" s="202"/>
      <c r="H68" s="1"/>
      <c r="I68" s="1"/>
      <c r="J68" s="1"/>
      <c r="K68" s="1"/>
      <c r="L68" s="1"/>
    </row>
    <row r="69" spans="1:13" ht="17.25">
      <c r="A69" s="27" t="s">
        <v>428</v>
      </c>
      <c r="B69" s="200">
        <v>0</v>
      </c>
      <c r="C69" s="200">
        <v>0</v>
      </c>
      <c r="D69" s="200">
        <v>0</v>
      </c>
      <c r="E69" s="200">
        <v>0</v>
      </c>
      <c r="F69" s="203">
        <v>1</v>
      </c>
      <c r="G69" s="200">
        <v>20000</v>
      </c>
    </row>
    <row r="70" spans="1:13" ht="17.25">
      <c r="A70" s="26" t="s">
        <v>429</v>
      </c>
      <c r="B70" s="201"/>
      <c r="C70" s="201"/>
      <c r="D70" s="201"/>
      <c r="E70" s="201"/>
      <c r="F70" s="201"/>
      <c r="G70" s="201"/>
    </row>
    <row r="71" spans="1:13" ht="17.25">
      <c r="A71" s="27" t="s">
        <v>295</v>
      </c>
      <c r="B71" s="200">
        <v>0</v>
      </c>
      <c r="C71" s="200">
        <v>0</v>
      </c>
      <c r="D71" s="200">
        <v>0</v>
      </c>
      <c r="E71" s="200">
        <v>5000</v>
      </c>
      <c r="F71" s="203">
        <v>-1</v>
      </c>
      <c r="G71" s="200">
        <v>0</v>
      </c>
    </row>
    <row r="72" spans="1:13" ht="17.25">
      <c r="A72" s="26" t="s">
        <v>296</v>
      </c>
      <c r="B72" s="201"/>
      <c r="C72" s="201"/>
      <c r="D72" s="201"/>
      <c r="E72" s="201"/>
      <c r="F72" s="204"/>
      <c r="G72" s="201"/>
    </row>
    <row r="73" spans="1:13" ht="17.25">
      <c r="A73" s="24" t="s">
        <v>297</v>
      </c>
      <c r="B73" s="202"/>
      <c r="C73" s="202"/>
      <c r="D73" s="202"/>
      <c r="E73" s="202"/>
      <c r="F73" s="205"/>
      <c r="G73" s="202"/>
    </row>
    <row r="74" spans="1:13" ht="17.25">
      <c r="A74" s="27" t="s">
        <v>430</v>
      </c>
      <c r="B74" s="200">
        <v>0</v>
      </c>
      <c r="C74" s="200">
        <v>0</v>
      </c>
      <c r="D74" s="200">
        <v>0</v>
      </c>
      <c r="E74" s="200">
        <v>140000</v>
      </c>
      <c r="F74" s="203">
        <v>-1</v>
      </c>
      <c r="G74" s="200">
        <v>0</v>
      </c>
    </row>
    <row r="75" spans="1:13" ht="17.25">
      <c r="A75" s="26" t="s">
        <v>431</v>
      </c>
      <c r="B75" s="201"/>
      <c r="C75" s="201"/>
      <c r="D75" s="201"/>
      <c r="E75" s="201"/>
      <c r="F75" s="204"/>
      <c r="G75" s="201"/>
    </row>
    <row r="76" spans="1:13" ht="17.25">
      <c r="A76" s="24" t="s">
        <v>432</v>
      </c>
      <c r="B76" s="202"/>
      <c r="C76" s="202"/>
      <c r="D76" s="202"/>
      <c r="E76" s="202"/>
      <c r="F76" s="205"/>
      <c r="G76" s="202"/>
    </row>
    <row r="77" spans="1:13" s="41" customFormat="1" ht="17.25">
      <c r="A77" s="22" t="s">
        <v>49</v>
      </c>
      <c r="B77" s="78">
        <v>25670</v>
      </c>
      <c r="C77" s="68">
        <v>71943.81</v>
      </c>
      <c r="D77" s="68">
        <f>670.24+30000</f>
        <v>30670.240000000002</v>
      </c>
      <c r="E77" s="77">
        <v>100000</v>
      </c>
      <c r="F77" s="75" t="s">
        <v>433</v>
      </c>
      <c r="G77" s="77">
        <v>70000</v>
      </c>
    </row>
    <row r="78" spans="1:13" ht="17.25">
      <c r="A78" s="16" t="s">
        <v>50</v>
      </c>
      <c r="B78" s="111">
        <f>SUM(B41:B77)</f>
        <v>915661.56</v>
      </c>
      <c r="C78" s="73">
        <f>SUM(C41:C77)</f>
        <v>1327944.1100000001</v>
      </c>
      <c r="D78" s="73">
        <f>SUM(D41:D77)</f>
        <v>510220.24</v>
      </c>
      <c r="E78" s="112">
        <f>E41+E42+E43+E44+E45+E46+E47+E48+E49+E50+E51+E52+E53+E54+E55+E56+E63+E64+E65+E66+E67+E68+E69+E70+E71+E72+E73+E74+E75+E76+E77</f>
        <v>1443080</v>
      </c>
      <c r="F78" s="73"/>
      <c r="G78" s="81">
        <f>G41+G42+G43+G44+G45+G46+G47+G48+G49+G50+G51+G52+G53+G54+G55+G56+G63+G64+G65+G66+G67+G68+G69+G70+G71+G72+G73+G74+G75+G76+G77</f>
        <v>1015000</v>
      </c>
    </row>
    <row r="79" spans="1:13" ht="17.25">
      <c r="A79" s="29" t="s">
        <v>51</v>
      </c>
      <c r="B79" s="80"/>
      <c r="C79" s="108"/>
      <c r="D79" s="68"/>
      <c r="E79" s="110"/>
      <c r="F79" s="70"/>
      <c r="G79" s="79"/>
    </row>
    <row r="80" spans="1:13" s="7" customFormat="1" ht="17.25">
      <c r="A80" s="8" t="s">
        <v>52</v>
      </c>
      <c r="B80" s="55">
        <v>77500</v>
      </c>
      <c r="C80" s="56">
        <v>89500</v>
      </c>
      <c r="D80" s="56">
        <v>89916</v>
      </c>
      <c r="E80" s="54">
        <v>90000</v>
      </c>
      <c r="F80" s="59">
        <v>0</v>
      </c>
      <c r="G80" s="54">
        <v>90000</v>
      </c>
      <c r="H80" s="1"/>
      <c r="I80" s="1"/>
      <c r="J80" s="1"/>
      <c r="K80" s="1"/>
      <c r="L80" s="1"/>
      <c r="M80" s="1"/>
    </row>
    <row r="81" spans="1:13" s="7" customFormat="1" ht="17.25">
      <c r="A81" s="8" t="s">
        <v>53</v>
      </c>
      <c r="B81" s="65">
        <v>4700</v>
      </c>
      <c r="C81" s="65">
        <v>8600</v>
      </c>
      <c r="D81" s="65">
        <v>7194</v>
      </c>
      <c r="E81" s="65">
        <v>30000</v>
      </c>
      <c r="F81" s="119" t="s">
        <v>323</v>
      </c>
      <c r="G81" s="65">
        <v>25000</v>
      </c>
      <c r="H81" s="1"/>
      <c r="I81" s="1"/>
      <c r="J81" s="1"/>
      <c r="K81" s="1"/>
      <c r="L81" s="1"/>
      <c r="M81" s="1"/>
    </row>
    <row r="82" spans="1:13" s="7" customFormat="1" ht="17.25">
      <c r="A82" s="18" t="s">
        <v>54</v>
      </c>
      <c r="B82" s="66">
        <v>7698</v>
      </c>
      <c r="C82" s="66">
        <v>10000</v>
      </c>
      <c r="D82" s="66">
        <v>29987</v>
      </c>
      <c r="E82" s="66">
        <v>30000</v>
      </c>
      <c r="F82" s="74">
        <v>0</v>
      </c>
      <c r="G82" s="66">
        <v>30000</v>
      </c>
      <c r="H82" s="1"/>
      <c r="I82" s="1"/>
      <c r="J82" s="1"/>
      <c r="K82" s="1"/>
      <c r="L82" s="1"/>
      <c r="M82" s="1"/>
    </row>
    <row r="83" spans="1:13" s="7" customFormat="1" ht="17.25">
      <c r="A83" s="8" t="s">
        <v>55</v>
      </c>
      <c r="B83" s="65">
        <v>0</v>
      </c>
      <c r="C83" s="65">
        <v>0</v>
      </c>
      <c r="D83" s="65">
        <v>21955</v>
      </c>
      <c r="E83" s="65">
        <v>20000</v>
      </c>
      <c r="F83" s="75" t="s">
        <v>330</v>
      </c>
      <c r="G83" s="65">
        <v>15000</v>
      </c>
      <c r="H83" s="1"/>
      <c r="I83" s="1"/>
      <c r="J83" s="1"/>
      <c r="K83" s="1"/>
      <c r="L83" s="1"/>
      <c r="M83" s="1"/>
    </row>
    <row r="84" spans="1:13" s="7" customFormat="1" ht="17.25">
      <c r="A84" s="6" t="s">
        <v>56</v>
      </c>
      <c r="B84" s="66">
        <v>20600</v>
      </c>
      <c r="C84" s="66">
        <v>32000</v>
      </c>
      <c r="D84" s="66">
        <v>6985</v>
      </c>
      <c r="E84" s="66">
        <v>40000</v>
      </c>
      <c r="F84" s="82" t="s">
        <v>434</v>
      </c>
      <c r="G84" s="66">
        <v>35000</v>
      </c>
      <c r="H84" s="1"/>
      <c r="I84" s="1"/>
      <c r="J84" s="1"/>
      <c r="K84" s="1"/>
      <c r="L84" s="1"/>
    </row>
    <row r="85" spans="1:13" s="7" customFormat="1" ht="17.25">
      <c r="A85" s="22" t="s">
        <v>57</v>
      </c>
      <c r="B85" s="56">
        <v>260500</v>
      </c>
      <c r="C85" s="56">
        <v>269000</v>
      </c>
      <c r="D85" s="56">
        <v>109430</v>
      </c>
      <c r="E85" s="56">
        <v>100000</v>
      </c>
      <c r="F85" s="75" t="s">
        <v>435</v>
      </c>
      <c r="G85" s="56">
        <v>95000</v>
      </c>
      <c r="H85" s="1"/>
      <c r="I85" s="1"/>
      <c r="J85" s="1"/>
      <c r="K85" s="1"/>
      <c r="L85" s="1"/>
    </row>
    <row r="86" spans="1:13" s="7" customFormat="1" ht="17.25">
      <c r="A86" s="8" t="s">
        <v>58</v>
      </c>
      <c r="B86" s="57">
        <v>0</v>
      </c>
      <c r="C86" s="57">
        <v>96000</v>
      </c>
      <c r="D86" s="57">
        <v>74250</v>
      </c>
      <c r="E86" s="57">
        <v>70000</v>
      </c>
      <c r="F86" s="91" t="s">
        <v>322</v>
      </c>
      <c r="G86" s="57">
        <v>70000</v>
      </c>
      <c r="H86" s="1"/>
      <c r="I86" s="1"/>
      <c r="J86" s="1"/>
      <c r="K86" s="1"/>
      <c r="L86" s="1"/>
    </row>
    <row r="87" spans="1:13" s="7" customFormat="1" ht="17.25">
      <c r="A87" s="8" t="s">
        <v>59</v>
      </c>
      <c r="B87" s="65">
        <v>0</v>
      </c>
      <c r="C87" s="65">
        <v>7000</v>
      </c>
      <c r="D87" s="65">
        <v>23490</v>
      </c>
      <c r="E87" s="65">
        <v>20000</v>
      </c>
      <c r="F87" s="119" t="s">
        <v>436</v>
      </c>
      <c r="G87" s="65">
        <v>10000</v>
      </c>
      <c r="H87" s="1"/>
      <c r="I87" s="1"/>
      <c r="J87" s="1"/>
      <c r="K87" s="1"/>
      <c r="L87" s="1"/>
    </row>
    <row r="88" spans="1:13" s="7" customFormat="1" ht="17.25">
      <c r="A88" s="37" t="s">
        <v>60</v>
      </c>
      <c r="B88" s="102">
        <f>B80+B81+B82+B83+B84+B85+B86+B87</f>
        <v>370998</v>
      </c>
      <c r="C88" s="102">
        <f>C80+C81+C82+C83+C84+C85+C86+C87</f>
        <v>512100</v>
      </c>
      <c r="D88" s="102">
        <f>SUM(D80:D87)</f>
        <v>363207</v>
      </c>
      <c r="E88" s="102">
        <v>400000</v>
      </c>
      <c r="F88" s="101"/>
      <c r="G88" s="102">
        <f>G80+G81+G82+G83+G84+G85+G86+G87</f>
        <v>370000</v>
      </c>
      <c r="H88" s="1"/>
      <c r="I88" s="1"/>
      <c r="J88" s="1"/>
      <c r="K88" s="1"/>
      <c r="L88" s="1"/>
    </row>
    <row r="89" spans="1:13" s="7" customFormat="1" ht="17.25">
      <c r="A89" s="47"/>
      <c r="B89" s="125"/>
      <c r="C89" s="125"/>
      <c r="D89" s="125"/>
      <c r="E89" s="125"/>
      <c r="F89" s="126"/>
      <c r="G89" s="125"/>
      <c r="H89" s="1"/>
      <c r="I89" s="1"/>
      <c r="J89" s="1"/>
      <c r="K89" s="1"/>
      <c r="L89" s="1"/>
    </row>
    <row r="90" spans="1:13" s="7" customFormat="1" ht="17.25">
      <c r="A90" s="25"/>
      <c r="B90" s="123"/>
      <c r="C90" s="123"/>
      <c r="D90" s="123"/>
      <c r="E90" s="123"/>
      <c r="F90" s="124"/>
      <c r="G90" s="123"/>
      <c r="H90" s="1"/>
      <c r="I90" s="1"/>
      <c r="J90" s="1"/>
      <c r="K90" s="1"/>
      <c r="L90" s="1"/>
    </row>
    <row r="91" spans="1:13" s="7" customFormat="1" ht="17.25">
      <c r="A91" s="25"/>
      <c r="B91" s="123"/>
      <c r="C91" s="123"/>
      <c r="D91" s="123"/>
      <c r="E91" s="123"/>
      <c r="F91" s="124"/>
      <c r="G91" s="123"/>
      <c r="H91" s="1"/>
      <c r="I91" s="1"/>
      <c r="J91" s="1"/>
      <c r="K91" s="1"/>
      <c r="L91" s="1"/>
    </row>
    <row r="92" spans="1:13" s="34" customFormat="1" ht="17.25">
      <c r="A92" s="199"/>
      <c r="B92" s="199" t="s">
        <v>3</v>
      </c>
      <c r="C92" s="199"/>
      <c r="D92" s="199"/>
      <c r="E92" s="199" t="s">
        <v>4</v>
      </c>
      <c r="F92" s="199"/>
      <c r="G92" s="199"/>
      <c r="H92" s="33"/>
      <c r="I92" s="33"/>
      <c r="J92" s="33"/>
      <c r="K92" s="33"/>
      <c r="L92" s="33"/>
      <c r="M92" s="33"/>
    </row>
    <row r="93" spans="1:13" s="34" customFormat="1" ht="17.25">
      <c r="A93" s="199"/>
      <c r="B93" s="159" t="s">
        <v>5</v>
      </c>
      <c r="C93" s="159" t="s">
        <v>6</v>
      </c>
      <c r="D93" s="159" t="s">
        <v>7</v>
      </c>
      <c r="E93" s="159" t="s">
        <v>9</v>
      </c>
      <c r="F93" s="159" t="s">
        <v>8</v>
      </c>
      <c r="G93" s="159" t="s">
        <v>417</v>
      </c>
      <c r="H93" s="33"/>
      <c r="I93" s="33"/>
      <c r="J93" s="33"/>
      <c r="K93" s="33"/>
      <c r="L93" s="33"/>
      <c r="M93" s="33"/>
    </row>
    <row r="94" spans="1:13" s="7" customFormat="1" ht="17.25">
      <c r="A94" s="15"/>
      <c r="B94" s="92"/>
      <c r="C94" s="92"/>
      <c r="D94" s="92"/>
      <c r="E94" s="92"/>
      <c r="F94" s="88"/>
      <c r="G94" s="92"/>
      <c r="H94" s="1"/>
      <c r="I94" s="1"/>
      <c r="J94" s="1"/>
      <c r="K94" s="1"/>
      <c r="L94" s="1"/>
    </row>
    <row r="95" spans="1:13" s="7" customFormat="1" ht="17.25">
      <c r="A95" s="11" t="s">
        <v>61</v>
      </c>
      <c r="B95" s="65"/>
      <c r="C95" s="65"/>
      <c r="D95" s="65"/>
      <c r="E95" s="65"/>
      <c r="F95" s="68"/>
      <c r="G95" s="65"/>
      <c r="H95" s="1"/>
      <c r="I95" s="1"/>
      <c r="J95" s="1"/>
      <c r="K95" s="1"/>
      <c r="L95" s="1"/>
    </row>
    <row r="96" spans="1:13" s="7" customFormat="1" ht="17.25">
      <c r="A96" s="5" t="s">
        <v>62</v>
      </c>
      <c r="B96" s="66">
        <v>500500</v>
      </c>
      <c r="C96" s="66">
        <v>520000</v>
      </c>
      <c r="D96" s="66">
        <v>530179.62</v>
      </c>
      <c r="E96" s="66">
        <v>550000</v>
      </c>
      <c r="F96" s="105" t="s">
        <v>437</v>
      </c>
      <c r="G96" s="66">
        <v>520000</v>
      </c>
      <c r="H96" s="1"/>
      <c r="I96" s="1"/>
      <c r="J96" s="1"/>
      <c r="K96" s="1"/>
      <c r="L96" s="1"/>
    </row>
    <row r="97" spans="1:13" ht="17.25">
      <c r="A97" s="4" t="s">
        <v>63</v>
      </c>
      <c r="B97" s="83">
        <v>60000</v>
      </c>
      <c r="C97" s="83">
        <v>65000</v>
      </c>
      <c r="D97" s="83">
        <v>95689.67</v>
      </c>
      <c r="E97" s="83">
        <v>80000</v>
      </c>
      <c r="F97" s="109" t="s">
        <v>438</v>
      </c>
      <c r="G97" s="83">
        <v>50000</v>
      </c>
      <c r="H97" s="1"/>
      <c r="I97" s="1"/>
      <c r="J97" s="1"/>
      <c r="K97" s="1"/>
      <c r="L97" s="1"/>
    </row>
    <row r="98" spans="1:13" ht="17.25">
      <c r="A98" s="8" t="s">
        <v>64</v>
      </c>
      <c r="B98" s="65">
        <v>79000</v>
      </c>
      <c r="C98" s="65">
        <v>82500</v>
      </c>
      <c r="D98" s="65">
        <v>72643.61</v>
      </c>
      <c r="E98" s="65">
        <v>80000</v>
      </c>
      <c r="F98" s="127" t="s">
        <v>439</v>
      </c>
      <c r="G98" s="65">
        <v>70000</v>
      </c>
      <c r="H98" s="1"/>
      <c r="I98" s="1"/>
      <c r="J98" s="1"/>
      <c r="K98" s="1"/>
      <c r="L98" s="1"/>
    </row>
    <row r="99" spans="1:13" ht="17.25">
      <c r="A99" s="26" t="s">
        <v>65</v>
      </c>
      <c r="B99" s="66">
        <v>4308.42</v>
      </c>
      <c r="C99" s="66">
        <v>5500</v>
      </c>
      <c r="D99" s="66">
        <v>12941.81</v>
      </c>
      <c r="E99" s="66">
        <v>20000</v>
      </c>
      <c r="F99" s="95">
        <v>0.5</v>
      </c>
      <c r="G99" s="66">
        <v>30000</v>
      </c>
      <c r="H99" s="1"/>
      <c r="I99" s="1"/>
      <c r="J99" s="1"/>
      <c r="K99" s="1"/>
      <c r="L99" s="1"/>
    </row>
    <row r="100" spans="1:13" ht="17.25">
      <c r="A100" s="27" t="s">
        <v>66</v>
      </c>
      <c r="B100" s="83">
        <v>0</v>
      </c>
      <c r="C100" s="83">
        <v>24379.08</v>
      </c>
      <c r="D100" s="83">
        <v>32133.42</v>
      </c>
      <c r="E100" s="83">
        <v>32100</v>
      </c>
      <c r="F100" s="128" t="s">
        <v>440</v>
      </c>
      <c r="G100" s="83">
        <v>50000</v>
      </c>
      <c r="H100" s="1"/>
      <c r="I100" s="1"/>
      <c r="J100" s="1"/>
      <c r="K100" s="1"/>
      <c r="L100" s="1"/>
    </row>
    <row r="101" spans="1:13" ht="17.25">
      <c r="A101" s="16" t="s">
        <v>67</v>
      </c>
      <c r="B101" s="93">
        <f>SUM(B96:B100)</f>
        <v>643808.42000000004</v>
      </c>
      <c r="C101" s="93">
        <f>SUM(C96:C100)</f>
        <v>697379.08</v>
      </c>
      <c r="D101" s="93">
        <f>SUM(D96:D100)</f>
        <v>743588.13000000012</v>
      </c>
      <c r="E101" s="93">
        <f>SUM(E96:E100)</f>
        <v>762100</v>
      </c>
      <c r="F101" s="73"/>
      <c r="G101" s="93">
        <f>SUM(G96:G100)</f>
        <v>720000</v>
      </c>
      <c r="H101" s="1"/>
      <c r="I101" s="1"/>
      <c r="J101" s="1"/>
      <c r="K101" s="1"/>
      <c r="L101" s="1"/>
    </row>
    <row r="102" spans="1:13" ht="17.25">
      <c r="A102" s="15" t="s">
        <v>68</v>
      </c>
      <c r="B102" s="92">
        <f>B101+B88+B78+B39</f>
        <v>3441274.9</v>
      </c>
      <c r="C102" s="92">
        <f>C39+C78+C88+C101</f>
        <v>3111353.1900000004</v>
      </c>
      <c r="D102" s="92">
        <f>D39+D78+D88+D101</f>
        <v>2223320.37</v>
      </c>
      <c r="E102" s="92">
        <f>E39+E78+E88+E101</f>
        <v>2950655</v>
      </c>
      <c r="F102" s="88"/>
      <c r="G102" s="92">
        <f>G39+G78+G88+G101</f>
        <v>2378200</v>
      </c>
      <c r="H102" s="1"/>
      <c r="I102" s="1"/>
      <c r="J102" s="1"/>
      <c r="K102" s="1"/>
      <c r="L102" s="1"/>
    </row>
    <row r="103" spans="1:13" ht="17.25">
      <c r="A103" s="21" t="s">
        <v>69</v>
      </c>
      <c r="B103" s="84"/>
      <c r="C103" s="84"/>
      <c r="D103" s="84"/>
      <c r="E103" s="84"/>
      <c r="F103" s="89"/>
      <c r="G103" s="84"/>
    </row>
    <row r="104" spans="1:13" ht="17.25">
      <c r="A104" s="23" t="s">
        <v>70</v>
      </c>
      <c r="B104" s="85"/>
      <c r="C104" s="85"/>
      <c r="D104" s="85"/>
      <c r="E104" s="85"/>
      <c r="F104" s="90"/>
      <c r="G104" s="85"/>
    </row>
    <row r="105" spans="1:13" ht="17.25">
      <c r="A105" s="22" t="s">
        <v>71</v>
      </c>
      <c r="B105" s="56"/>
      <c r="C105" s="56"/>
      <c r="D105" s="56"/>
      <c r="E105" s="56"/>
      <c r="F105" s="68"/>
      <c r="G105" s="56"/>
    </row>
    <row r="106" spans="1:13" ht="17.25">
      <c r="A106" s="22" t="s">
        <v>72</v>
      </c>
      <c r="B106" s="58">
        <v>0</v>
      </c>
      <c r="C106" s="58">
        <v>0</v>
      </c>
      <c r="D106" s="58">
        <v>100000</v>
      </c>
      <c r="E106" s="58">
        <v>0</v>
      </c>
      <c r="F106" s="82" t="s">
        <v>318</v>
      </c>
      <c r="G106" s="58">
        <v>0</v>
      </c>
    </row>
    <row r="107" spans="1:13" ht="17.25">
      <c r="A107" s="22" t="s">
        <v>73</v>
      </c>
      <c r="B107" s="56">
        <v>0</v>
      </c>
      <c r="C107" s="56">
        <v>0</v>
      </c>
      <c r="D107" s="56">
        <v>10000</v>
      </c>
      <c r="E107" s="56">
        <v>0</v>
      </c>
      <c r="F107" s="82" t="s">
        <v>320</v>
      </c>
      <c r="G107" s="56">
        <v>0</v>
      </c>
    </row>
    <row r="108" spans="1:13" s="7" customFormat="1" ht="17.25">
      <c r="A108" s="22" t="s">
        <v>319</v>
      </c>
      <c r="B108" s="65">
        <v>0</v>
      </c>
      <c r="C108" s="65">
        <v>0</v>
      </c>
      <c r="D108" s="65">
        <v>16000</v>
      </c>
      <c r="E108" s="65">
        <v>0</v>
      </c>
      <c r="F108" s="82" t="s">
        <v>320</v>
      </c>
      <c r="G108" s="65">
        <v>16000</v>
      </c>
      <c r="H108" s="1"/>
      <c r="I108" s="1"/>
      <c r="J108" s="1"/>
      <c r="K108" s="1"/>
      <c r="L108" s="1"/>
      <c r="M108" s="1"/>
    </row>
    <row r="109" spans="1:13" s="7" customFormat="1" ht="17.25">
      <c r="A109" s="22" t="s">
        <v>441</v>
      </c>
      <c r="B109" s="65">
        <v>0</v>
      </c>
      <c r="C109" s="65">
        <v>0</v>
      </c>
      <c r="D109" s="65">
        <v>0</v>
      </c>
      <c r="E109" s="65">
        <v>0</v>
      </c>
      <c r="F109" s="105">
        <v>1</v>
      </c>
      <c r="G109" s="65">
        <v>1700</v>
      </c>
      <c r="H109" s="1"/>
      <c r="I109" s="1"/>
      <c r="J109" s="1"/>
      <c r="K109" s="1"/>
      <c r="L109" s="1"/>
      <c r="M109" s="1"/>
    </row>
    <row r="110" spans="1:13" s="7" customFormat="1" ht="17.25">
      <c r="A110" s="22" t="s">
        <v>442</v>
      </c>
      <c r="B110" s="65">
        <v>0</v>
      </c>
      <c r="C110" s="65">
        <v>0</v>
      </c>
      <c r="D110" s="65">
        <v>0</v>
      </c>
      <c r="E110" s="65">
        <v>0</v>
      </c>
      <c r="F110" s="105">
        <v>1</v>
      </c>
      <c r="G110" s="65">
        <v>4000</v>
      </c>
      <c r="H110" s="1"/>
      <c r="I110" s="1"/>
      <c r="J110" s="1"/>
      <c r="K110" s="1"/>
      <c r="L110" s="1"/>
      <c r="M110" s="1"/>
    </row>
    <row r="111" spans="1:13" s="7" customFormat="1" ht="17.25">
      <c r="A111" s="22" t="s">
        <v>446</v>
      </c>
      <c r="B111" s="65">
        <v>0</v>
      </c>
      <c r="C111" s="65">
        <v>0</v>
      </c>
      <c r="D111" s="65">
        <v>0</v>
      </c>
      <c r="E111" s="65">
        <v>0</v>
      </c>
      <c r="F111" s="105">
        <v>1</v>
      </c>
      <c r="G111" s="65">
        <v>19000</v>
      </c>
      <c r="H111" s="1"/>
      <c r="I111" s="1"/>
      <c r="J111" s="1"/>
      <c r="K111" s="1"/>
      <c r="L111" s="1"/>
      <c r="M111" s="1"/>
    </row>
    <row r="112" spans="1:13" s="7" customFormat="1" ht="17.25">
      <c r="A112" s="22" t="s">
        <v>443</v>
      </c>
      <c r="B112" s="65">
        <v>0</v>
      </c>
      <c r="C112" s="65">
        <v>0</v>
      </c>
      <c r="D112" s="65">
        <v>0</v>
      </c>
      <c r="E112" s="65">
        <v>0</v>
      </c>
      <c r="F112" s="105">
        <v>1</v>
      </c>
      <c r="G112" s="65">
        <v>9000</v>
      </c>
      <c r="H112" s="1"/>
      <c r="I112" s="1"/>
      <c r="J112" s="1"/>
      <c r="K112" s="1"/>
      <c r="L112" s="1"/>
      <c r="M112" s="1"/>
    </row>
    <row r="113" spans="1:13" s="7" customFormat="1" ht="17.25">
      <c r="A113" s="22" t="s">
        <v>74</v>
      </c>
      <c r="B113" s="65">
        <v>0</v>
      </c>
      <c r="C113" s="65">
        <v>0</v>
      </c>
      <c r="D113" s="65">
        <v>0</v>
      </c>
      <c r="E113" s="65">
        <v>28000</v>
      </c>
      <c r="F113" s="82" t="s">
        <v>318</v>
      </c>
      <c r="G113" s="65">
        <v>0</v>
      </c>
      <c r="H113" s="1"/>
      <c r="I113" s="1"/>
      <c r="J113" s="1"/>
      <c r="K113" s="1"/>
      <c r="L113" s="1"/>
      <c r="M113" s="1"/>
    </row>
    <row r="114" spans="1:13" s="7" customFormat="1" ht="17.25">
      <c r="A114" s="6" t="s">
        <v>75</v>
      </c>
      <c r="B114" s="66"/>
      <c r="C114" s="66"/>
      <c r="D114" s="66"/>
      <c r="E114" s="66"/>
      <c r="F114" s="69"/>
      <c r="G114" s="66"/>
      <c r="H114" s="1"/>
      <c r="I114" s="1"/>
      <c r="J114" s="1"/>
      <c r="K114" s="1"/>
      <c r="L114" s="1"/>
      <c r="M114" s="1"/>
    </row>
    <row r="115" spans="1:13" s="7" customFormat="1" ht="17.25">
      <c r="A115" s="27" t="s">
        <v>298</v>
      </c>
      <c r="B115" s="200">
        <v>0</v>
      </c>
      <c r="C115" s="200">
        <v>0</v>
      </c>
      <c r="D115" s="200">
        <v>35000</v>
      </c>
      <c r="E115" s="200">
        <v>0</v>
      </c>
      <c r="F115" s="200" t="s">
        <v>318</v>
      </c>
      <c r="G115" s="200">
        <v>0</v>
      </c>
      <c r="H115" s="1"/>
      <c r="I115" s="1"/>
      <c r="J115" s="1"/>
      <c r="K115" s="1"/>
      <c r="L115" s="1"/>
      <c r="M115" s="1"/>
    </row>
    <row r="116" spans="1:13" s="7" customFormat="1" ht="17.25">
      <c r="A116" s="26" t="s">
        <v>299</v>
      </c>
      <c r="B116" s="202"/>
      <c r="C116" s="202"/>
      <c r="D116" s="202"/>
      <c r="E116" s="202"/>
      <c r="F116" s="202"/>
      <c r="G116" s="202"/>
      <c r="H116" s="1"/>
      <c r="I116" s="1"/>
      <c r="J116" s="1"/>
      <c r="K116" s="1"/>
      <c r="L116" s="1"/>
      <c r="M116" s="1"/>
    </row>
    <row r="117" spans="1:13" s="7" customFormat="1" ht="17.25">
      <c r="A117" s="4" t="s">
        <v>298</v>
      </c>
      <c r="B117" s="200">
        <v>0</v>
      </c>
      <c r="C117" s="200">
        <v>0</v>
      </c>
      <c r="D117" s="200">
        <v>98000</v>
      </c>
      <c r="E117" s="200">
        <v>0</v>
      </c>
      <c r="F117" s="200" t="s">
        <v>318</v>
      </c>
      <c r="G117" s="200">
        <v>0</v>
      </c>
      <c r="H117" s="1"/>
      <c r="I117" s="1"/>
      <c r="J117" s="1"/>
      <c r="K117" s="1"/>
      <c r="L117" s="1"/>
      <c r="M117" s="1"/>
    </row>
    <row r="118" spans="1:13" s="7" customFormat="1" ht="17.25">
      <c r="A118" s="31" t="s">
        <v>300</v>
      </c>
      <c r="B118" s="202"/>
      <c r="C118" s="202"/>
      <c r="D118" s="202"/>
      <c r="E118" s="202"/>
      <c r="F118" s="202"/>
      <c r="G118" s="202"/>
      <c r="H118" s="1"/>
      <c r="I118" s="1"/>
      <c r="J118" s="1"/>
      <c r="K118" s="1"/>
      <c r="L118" s="1"/>
      <c r="M118" s="1"/>
    </row>
    <row r="119" spans="1:13" s="7" customFormat="1" ht="17.25">
      <c r="A119" s="24" t="s">
        <v>76</v>
      </c>
      <c r="B119" s="55">
        <v>0</v>
      </c>
      <c r="C119" s="56">
        <v>0</v>
      </c>
      <c r="D119" s="55">
        <v>0</v>
      </c>
      <c r="E119" s="56">
        <v>12000</v>
      </c>
      <c r="F119" s="82" t="s">
        <v>318</v>
      </c>
      <c r="G119" s="54">
        <v>0</v>
      </c>
      <c r="H119" s="1"/>
      <c r="I119" s="1"/>
      <c r="J119" s="1"/>
      <c r="K119" s="1"/>
      <c r="L119" s="1"/>
      <c r="M119" s="1"/>
    </row>
    <row r="120" spans="1:13" s="7" customFormat="1" ht="17.25">
      <c r="A120" s="8" t="s">
        <v>77</v>
      </c>
      <c r="B120" s="55"/>
      <c r="C120" s="56"/>
      <c r="D120" s="56"/>
      <c r="E120" s="54"/>
      <c r="F120" s="68"/>
      <c r="G120" s="54"/>
      <c r="H120" s="1"/>
      <c r="I120" s="1"/>
      <c r="J120" s="1"/>
      <c r="K120" s="1"/>
      <c r="L120" s="1"/>
      <c r="M120" s="1"/>
    </row>
    <row r="121" spans="1:13" s="7" customFormat="1" ht="17.25">
      <c r="A121" s="4" t="s">
        <v>78</v>
      </c>
      <c r="B121" s="83">
        <v>0</v>
      </c>
      <c r="C121" s="83">
        <v>11380</v>
      </c>
      <c r="D121" s="83">
        <v>24000</v>
      </c>
      <c r="E121" s="83">
        <v>0</v>
      </c>
      <c r="F121" s="91" t="s">
        <v>318</v>
      </c>
      <c r="G121" s="83">
        <v>0</v>
      </c>
      <c r="H121" s="1"/>
      <c r="I121" s="1"/>
      <c r="J121" s="1"/>
      <c r="K121" s="1"/>
      <c r="L121" s="1"/>
      <c r="M121" s="1"/>
    </row>
    <row r="122" spans="1:13" s="7" customFormat="1" ht="17.25">
      <c r="A122" s="44"/>
      <c r="B122" s="86"/>
      <c r="C122" s="86"/>
      <c r="D122" s="86"/>
      <c r="E122" s="86"/>
      <c r="F122" s="129"/>
      <c r="G122" s="86"/>
      <c r="H122" s="1"/>
      <c r="I122" s="1"/>
      <c r="J122" s="1"/>
      <c r="K122" s="1"/>
      <c r="L122" s="1"/>
      <c r="M122" s="1"/>
    </row>
    <row r="123" spans="1:13" s="34" customFormat="1" ht="17.25">
      <c r="A123" s="199"/>
      <c r="B123" s="199" t="s">
        <v>3</v>
      </c>
      <c r="C123" s="199"/>
      <c r="D123" s="199"/>
      <c r="E123" s="199" t="s">
        <v>4</v>
      </c>
      <c r="F123" s="199"/>
      <c r="G123" s="199"/>
      <c r="H123" s="33"/>
      <c r="I123" s="33"/>
      <c r="J123" s="33"/>
      <c r="K123" s="33"/>
      <c r="L123" s="33"/>
      <c r="M123" s="33"/>
    </row>
    <row r="124" spans="1:13" s="34" customFormat="1" ht="17.25">
      <c r="A124" s="199"/>
      <c r="B124" s="159" t="s">
        <v>5</v>
      </c>
      <c r="C124" s="159" t="s">
        <v>6</v>
      </c>
      <c r="D124" s="159" t="s">
        <v>7</v>
      </c>
      <c r="E124" s="159" t="s">
        <v>9</v>
      </c>
      <c r="F124" s="159" t="s">
        <v>8</v>
      </c>
      <c r="G124" s="159" t="s">
        <v>417</v>
      </c>
      <c r="H124" s="33"/>
      <c r="I124" s="33"/>
      <c r="J124" s="33"/>
      <c r="K124" s="33"/>
      <c r="L124" s="33"/>
      <c r="M124" s="33"/>
    </row>
    <row r="125" spans="1:13" s="7" customFormat="1" ht="17.25">
      <c r="A125" s="18" t="s">
        <v>80</v>
      </c>
      <c r="B125" s="66"/>
      <c r="C125" s="66"/>
      <c r="D125" s="66"/>
      <c r="E125" s="66"/>
      <c r="F125" s="66"/>
      <c r="G125" s="66"/>
      <c r="H125" s="1"/>
      <c r="I125" s="1"/>
      <c r="J125" s="1"/>
      <c r="K125" s="1"/>
      <c r="L125" s="1"/>
      <c r="M125" s="1"/>
    </row>
    <row r="126" spans="1:13" s="7" customFormat="1" ht="17.25">
      <c r="A126" s="8" t="s">
        <v>79</v>
      </c>
      <c r="B126" s="65">
        <v>0</v>
      </c>
      <c r="C126" s="65">
        <v>8300</v>
      </c>
      <c r="D126" s="65">
        <v>14000</v>
      </c>
      <c r="E126" s="65">
        <v>0</v>
      </c>
      <c r="F126" s="75" t="s">
        <v>318</v>
      </c>
      <c r="G126" s="65">
        <v>0</v>
      </c>
      <c r="H126" s="1"/>
      <c r="I126" s="1"/>
      <c r="J126" s="1"/>
      <c r="K126" s="1"/>
      <c r="L126" s="1"/>
      <c r="M126" s="1"/>
    </row>
    <row r="127" spans="1:13" s="7" customFormat="1" ht="17.25">
      <c r="A127" s="8" t="s">
        <v>444</v>
      </c>
      <c r="B127" s="66">
        <v>0</v>
      </c>
      <c r="C127" s="66">
        <v>0</v>
      </c>
      <c r="D127" s="66">
        <v>0</v>
      </c>
      <c r="E127" s="66">
        <v>0</v>
      </c>
      <c r="F127" s="105">
        <v>1</v>
      </c>
      <c r="G127" s="66">
        <v>15000</v>
      </c>
      <c r="H127" s="1"/>
      <c r="I127" s="1"/>
      <c r="J127" s="1"/>
      <c r="K127" s="1"/>
      <c r="L127" s="1"/>
      <c r="M127" s="1"/>
    </row>
    <row r="128" spans="1:13" s="7" customFormat="1" ht="17.25">
      <c r="A128" s="8" t="s">
        <v>445</v>
      </c>
      <c r="B128" s="66">
        <v>0</v>
      </c>
      <c r="C128" s="66">
        <v>0</v>
      </c>
      <c r="D128" s="66">
        <v>0</v>
      </c>
      <c r="E128" s="66">
        <v>0</v>
      </c>
      <c r="F128" s="105">
        <v>1</v>
      </c>
      <c r="G128" s="66">
        <v>15000</v>
      </c>
      <c r="H128" s="1"/>
      <c r="I128" s="1"/>
      <c r="J128" s="1"/>
      <c r="K128" s="1"/>
      <c r="L128" s="1"/>
      <c r="M128" s="1"/>
    </row>
    <row r="129" spans="1:12" s="7" customFormat="1" ht="17.25">
      <c r="A129" s="6" t="s">
        <v>81</v>
      </c>
      <c r="B129" s="66">
        <v>118136.88</v>
      </c>
      <c r="C129" s="66">
        <v>80215</v>
      </c>
      <c r="D129" s="66">
        <f>35288+62793.35</f>
        <v>98081.35</v>
      </c>
      <c r="E129" s="66">
        <v>120000</v>
      </c>
      <c r="F129" s="105" t="s">
        <v>323</v>
      </c>
      <c r="G129" s="66">
        <v>100000</v>
      </c>
      <c r="H129" s="1"/>
      <c r="I129" s="1"/>
      <c r="J129" s="1"/>
      <c r="K129" s="1"/>
      <c r="L129" s="1"/>
    </row>
    <row r="130" spans="1:12" s="7" customFormat="1" ht="17.25">
      <c r="A130" s="32" t="s">
        <v>82</v>
      </c>
      <c r="B130" s="60">
        <f>B129</f>
        <v>118136.88</v>
      </c>
      <c r="C130" s="60">
        <f>C121+C126+C129</f>
        <v>99895</v>
      </c>
      <c r="D130" s="60">
        <f>D106+D107+D108+D109+D110+D111+112+D113+D115+D116+D117+D118+D119+D120+D121+D126+D127+D128+D129</f>
        <v>395193.35</v>
      </c>
      <c r="E130" s="60">
        <v>160000</v>
      </c>
      <c r="F130" s="60"/>
      <c r="G130" s="60">
        <f>G106+G107+G108+G109+G110+G111+G112+G113+G114+G115+G116+G117+G118+G119+G120+G121+G126+G127+G128+G129</f>
        <v>179700</v>
      </c>
      <c r="H130" s="1"/>
      <c r="I130" s="1"/>
      <c r="J130" s="1"/>
      <c r="K130" s="1"/>
      <c r="L130" s="1"/>
    </row>
    <row r="131" spans="1:12" s="7" customFormat="1" ht="17.25">
      <c r="A131" s="11" t="s">
        <v>83</v>
      </c>
      <c r="B131" s="57"/>
      <c r="C131" s="57"/>
      <c r="D131" s="57"/>
      <c r="E131" s="57"/>
      <c r="F131" s="57"/>
      <c r="G131" s="57"/>
      <c r="H131" s="1"/>
      <c r="I131" s="1"/>
      <c r="J131" s="1"/>
      <c r="K131" s="1"/>
      <c r="L131" s="1"/>
    </row>
    <row r="132" spans="1:12" s="7" customFormat="1" ht="17.25">
      <c r="A132" s="8" t="s">
        <v>84</v>
      </c>
      <c r="B132" s="65"/>
      <c r="C132" s="65"/>
      <c r="D132" s="65"/>
      <c r="E132" s="65"/>
      <c r="F132" s="65"/>
      <c r="G132" s="65"/>
      <c r="H132" s="1"/>
      <c r="I132" s="1"/>
      <c r="J132" s="1"/>
      <c r="K132" s="1"/>
      <c r="L132" s="1"/>
    </row>
    <row r="133" spans="1:12" s="7" customFormat="1" ht="17.25">
      <c r="A133" s="24" t="s">
        <v>85</v>
      </c>
      <c r="B133" s="66">
        <v>0</v>
      </c>
      <c r="C133" s="66">
        <v>0</v>
      </c>
      <c r="D133" s="66">
        <v>1443000</v>
      </c>
      <c r="E133" s="66">
        <v>0</v>
      </c>
      <c r="F133" s="82"/>
      <c r="G133" s="66">
        <v>0</v>
      </c>
      <c r="H133" s="1"/>
      <c r="I133" s="1"/>
      <c r="J133" s="1"/>
      <c r="K133" s="1"/>
      <c r="L133" s="1"/>
    </row>
    <row r="134" spans="1:12" s="7" customFormat="1" ht="17.25">
      <c r="A134" s="8" t="s">
        <v>86</v>
      </c>
      <c r="B134" s="65"/>
      <c r="C134" s="65"/>
      <c r="D134" s="65"/>
      <c r="E134" s="65"/>
      <c r="F134" s="68"/>
      <c r="G134" s="65"/>
      <c r="H134" s="1"/>
      <c r="I134" s="1"/>
      <c r="J134" s="1"/>
      <c r="K134" s="1"/>
      <c r="L134" s="1"/>
    </row>
    <row r="135" spans="1:12" s="7" customFormat="1" ht="17.25">
      <c r="A135" s="5" t="s">
        <v>303</v>
      </c>
      <c r="B135" s="66">
        <v>0</v>
      </c>
      <c r="C135" s="66">
        <v>0</v>
      </c>
      <c r="D135" s="66">
        <v>225500</v>
      </c>
      <c r="E135" s="66">
        <v>66667</v>
      </c>
      <c r="F135" s="82" t="s">
        <v>318</v>
      </c>
      <c r="G135" s="66">
        <v>0</v>
      </c>
      <c r="H135" s="1"/>
      <c r="I135" s="1"/>
      <c r="J135" s="1"/>
      <c r="K135" s="1"/>
      <c r="L135" s="1"/>
    </row>
    <row r="136" spans="1:12" ht="17.25">
      <c r="A136" s="32" t="s">
        <v>87</v>
      </c>
      <c r="B136" s="97">
        <v>0</v>
      </c>
      <c r="C136" s="97">
        <v>0</v>
      </c>
      <c r="D136" s="97">
        <f>D133+D134+D135</f>
        <v>1668500</v>
      </c>
      <c r="E136" s="97">
        <f>E133+E134+E135</f>
        <v>66667</v>
      </c>
      <c r="F136" s="98"/>
      <c r="G136" s="97">
        <v>0</v>
      </c>
      <c r="H136" s="1"/>
      <c r="I136" s="1"/>
      <c r="J136" s="1"/>
      <c r="K136" s="1"/>
      <c r="L136" s="1"/>
    </row>
    <row r="137" spans="1:12" ht="17.25">
      <c r="A137" s="16" t="s">
        <v>88</v>
      </c>
      <c r="B137" s="93">
        <f>B130</f>
        <v>118136.88</v>
      </c>
      <c r="C137" s="93">
        <f>C130</f>
        <v>99895</v>
      </c>
      <c r="D137" s="93">
        <f>D130+D136</f>
        <v>2063693.35</v>
      </c>
      <c r="E137" s="93">
        <f>E130+E136</f>
        <v>226667</v>
      </c>
      <c r="F137" s="73"/>
      <c r="G137" s="93">
        <f>G130+G136</f>
        <v>179700</v>
      </c>
      <c r="H137" s="1"/>
      <c r="I137" s="1"/>
      <c r="J137" s="1"/>
      <c r="K137" s="1"/>
      <c r="L137" s="1"/>
    </row>
    <row r="138" spans="1:12" ht="17.25">
      <c r="A138" s="29" t="s">
        <v>89</v>
      </c>
      <c r="B138" s="66"/>
      <c r="C138" s="66"/>
      <c r="D138" s="66"/>
      <c r="E138" s="66"/>
      <c r="F138" s="69"/>
      <c r="G138" s="66"/>
      <c r="H138" s="1"/>
      <c r="I138" s="1"/>
      <c r="J138" s="1"/>
      <c r="K138" s="1"/>
      <c r="L138" s="1"/>
    </row>
    <row r="139" spans="1:12" ht="17.25">
      <c r="A139" s="30" t="s">
        <v>90</v>
      </c>
      <c r="B139" s="83"/>
      <c r="C139" s="83"/>
      <c r="D139" s="83"/>
      <c r="E139" s="83"/>
      <c r="F139" s="76"/>
      <c r="G139" s="83"/>
      <c r="H139" s="1"/>
      <c r="I139" s="1"/>
      <c r="J139" s="1"/>
      <c r="K139" s="1"/>
      <c r="L139" s="1"/>
    </row>
    <row r="140" spans="1:12" ht="17.25">
      <c r="A140" s="22" t="s">
        <v>91</v>
      </c>
      <c r="B140" s="65">
        <v>1039255.58</v>
      </c>
      <c r="C140" s="65">
        <v>18000</v>
      </c>
      <c r="D140" s="65">
        <v>20000</v>
      </c>
      <c r="E140" s="65">
        <v>40000</v>
      </c>
      <c r="F140" s="59">
        <v>0</v>
      </c>
      <c r="G140" s="65">
        <v>40000</v>
      </c>
      <c r="H140" s="1"/>
      <c r="I140" s="1"/>
      <c r="J140" s="1"/>
      <c r="K140" s="1"/>
      <c r="L140" s="1"/>
    </row>
    <row r="141" spans="1:12" ht="17.25">
      <c r="A141" s="15" t="s">
        <v>92</v>
      </c>
      <c r="B141" s="92">
        <f>B140</f>
        <v>1039255.58</v>
      </c>
      <c r="C141" s="92">
        <v>18000</v>
      </c>
      <c r="D141" s="92">
        <v>20000</v>
      </c>
      <c r="E141" s="92">
        <v>40000</v>
      </c>
      <c r="F141" s="69"/>
      <c r="G141" s="92">
        <v>40000</v>
      </c>
      <c r="H141" s="1"/>
      <c r="I141" s="1"/>
      <c r="J141" s="1"/>
      <c r="K141" s="1"/>
      <c r="L141" s="1"/>
    </row>
    <row r="142" spans="1:12" ht="17.25">
      <c r="A142" s="16" t="s">
        <v>93</v>
      </c>
      <c r="B142" s="97">
        <f>B140</f>
        <v>1039255.58</v>
      </c>
      <c r="C142" s="97">
        <v>18000</v>
      </c>
      <c r="D142" s="97">
        <v>20000</v>
      </c>
      <c r="E142" s="97">
        <v>40000</v>
      </c>
      <c r="F142" s="76"/>
      <c r="G142" s="97">
        <v>40000</v>
      </c>
    </row>
    <row r="143" spans="1:12" ht="17.25">
      <c r="A143" s="23" t="s">
        <v>94</v>
      </c>
      <c r="B143" s="65"/>
      <c r="C143" s="65"/>
      <c r="D143" s="65"/>
      <c r="E143" s="65"/>
      <c r="F143" s="68"/>
      <c r="G143" s="65"/>
    </row>
    <row r="144" spans="1:12" ht="17.25">
      <c r="A144" s="22" t="s">
        <v>95</v>
      </c>
      <c r="B144" s="56"/>
      <c r="C144" s="56"/>
      <c r="D144" s="56"/>
      <c r="E144" s="56"/>
      <c r="F144" s="68"/>
      <c r="G144" s="56"/>
    </row>
    <row r="145" spans="1:13" ht="17.25">
      <c r="A145" s="22" t="s">
        <v>96</v>
      </c>
      <c r="B145" s="58">
        <v>35000</v>
      </c>
      <c r="C145" s="58">
        <v>35000</v>
      </c>
      <c r="D145" s="58">
        <v>40000</v>
      </c>
      <c r="E145" s="58">
        <v>40000</v>
      </c>
      <c r="F145" s="74">
        <v>0</v>
      </c>
      <c r="G145" s="58">
        <v>40000</v>
      </c>
    </row>
    <row r="146" spans="1:13" ht="17.25">
      <c r="A146" s="22" t="s">
        <v>97</v>
      </c>
      <c r="B146" s="56">
        <v>0</v>
      </c>
      <c r="C146" s="56">
        <v>0</v>
      </c>
      <c r="D146" s="56">
        <v>0</v>
      </c>
      <c r="E146" s="56">
        <v>20000</v>
      </c>
      <c r="F146" s="59">
        <v>0</v>
      </c>
      <c r="G146" s="56">
        <v>20000</v>
      </c>
    </row>
    <row r="147" spans="1:13" s="7" customFormat="1" ht="17.25">
      <c r="A147" s="16" t="s">
        <v>98</v>
      </c>
      <c r="B147" s="93">
        <v>35000</v>
      </c>
      <c r="C147" s="93">
        <v>35000</v>
      </c>
      <c r="D147" s="93">
        <f>D145+D146</f>
        <v>40000</v>
      </c>
      <c r="E147" s="93">
        <v>60000</v>
      </c>
      <c r="F147" s="73"/>
      <c r="G147" s="93">
        <v>60000</v>
      </c>
      <c r="H147" s="1"/>
      <c r="I147" s="1"/>
      <c r="J147" s="1"/>
      <c r="K147" s="1"/>
      <c r="L147" s="1"/>
      <c r="M147" s="1"/>
    </row>
    <row r="148" spans="1:13" s="7" customFormat="1" ht="17.25">
      <c r="A148" s="16" t="s">
        <v>99</v>
      </c>
      <c r="B148" s="93">
        <v>35000</v>
      </c>
      <c r="C148" s="93">
        <v>35000</v>
      </c>
      <c r="D148" s="93">
        <f>D147</f>
        <v>40000</v>
      </c>
      <c r="E148" s="93">
        <v>60000</v>
      </c>
      <c r="F148" s="73"/>
      <c r="G148" s="93">
        <v>60000</v>
      </c>
      <c r="H148" s="1"/>
      <c r="I148" s="1"/>
      <c r="J148" s="1"/>
      <c r="K148" s="1"/>
      <c r="L148" s="1"/>
      <c r="M148" s="1"/>
    </row>
    <row r="149" spans="1:13" s="7" customFormat="1" ht="17.25">
      <c r="A149" s="37" t="s">
        <v>100</v>
      </c>
      <c r="B149" s="102">
        <f>B29+B102+B137+B142+B148</f>
        <v>10839493.520000001</v>
      </c>
      <c r="C149" s="102">
        <f>C29+C102+C137+C142+C148</f>
        <v>10107450.640000001</v>
      </c>
      <c r="D149" s="102">
        <f>D29+D102+D137+D142+D148</f>
        <v>11520672.52</v>
      </c>
      <c r="E149" s="102">
        <f>E29+E102+E137+E142+E148</f>
        <v>10905588</v>
      </c>
      <c r="F149" s="102"/>
      <c r="G149" s="102">
        <f>G29+G102+G137+G142+G148</f>
        <v>9992750</v>
      </c>
      <c r="H149" s="1"/>
      <c r="I149" s="1"/>
      <c r="J149" s="1"/>
      <c r="K149" s="1"/>
      <c r="L149" s="1"/>
      <c r="M149" s="1"/>
    </row>
    <row r="150" spans="1:13" s="46" customFormat="1" ht="17.25">
      <c r="A150" s="47"/>
      <c r="B150" s="45"/>
      <c r="C150" s="45"/>
      <c r="D150" s="45"/>
      <c r="E150" s="45"/>
      <c r="F150" s="45"/>
      <c r="G150" s="45"/>
      <c r="H150" s="44"/>
      <c r="I150" s="44"/>
      <c r="J150" s="44"/>
      <c r="K150" s="44"/>
      <c r="L150" s="44"/>
      <c r="M150" s="44"/>
    </row>
    <row r="151" spans="1:13" s="43" customFormat="1" ht="17.25">
      <c r="A151" s="25"/>
      <c r="B151" s="42"/>
      <c r="C151" s="42"/>
      <c r="D151" s="42"/>
      <c r="E151" s="42"/>
      <c r="F151" s="42"/>
      <c r="G151" s="42"/>
      <c r="H151" s="2"/>
      <c r="I151" s="2"/>
      <c r="J151" s="2"/>
      <c r="K151" s="2"/>
      <c r="L151" s="2"/>
      <c r="M151" s="2"/>
    </row>
    <row r="152" spans="1:13" s="43" customFormat="1" ht="17.25">
      <c r="A152" s="25"/>
      <c r="B152" s="42"/>
      <c r="C152" s="42"/>
      <c r="D152" s="42"/>
      <c r="E152" s="42"/>
      <c r="F152" s="42"/>
      <c r="G152" s="42"/>
      <c r="H152" s="2"/>
      <c r="I152" s="2"/>
      <c r="J152" s="2"/>
      <c r="K152" s="2"/>
      <c r="L152" s="2"/>
      <c r="M152" s="2"/>
    </row>
    <row r="153" spans="1:13" s="43" customFormat="1" ht="17.25">
      <c r="A153" s="25"/>
      <c r="B153" s="42"/>
      <c r="C153" s="42"/>
      <c r="D153" s="42"/>
      <c r="E153" s="42"/>
      <c r="F153" s="42"/>
      <c r="G153" s="42"/>
      <c r="H153" s="2"/>
      <c r="I153" s="2"/>
      <c r="J153" s="2"/>
      <c r="K153" s="2"/>
      <c r="L153" s="2"/>
      <c r="M153" s="2"/>
    </row>
    <row r="154" spans="1:13" s="34" customFormat="1" ht="17.25">
      <c r="A154" s="199"/>
      <c r="B154" s="199" t="s">
        <v>3</v>
      </c>
      <c r="C154" s="199"/>
      <c r="D154" s="199"/>
      <c r="E154" s="199" t="s">
        <v>4</v>
      </c>
      <c r="F154" s="199"/>
      <c r="G154" s="199"/>
      <c r="H154" s="33"/>
      <c r="I154" s="33"/>
      <c r="J154" s="33"/>
      <c r="K154" s="33"/>
      <c r="L154" s="33"/>
      <c r="M154" s="33"/>
    </row>
    <row r="155" spans="1:13" s="34" customFormat="1" ht="17.25">
      <c r="A155" s="199"/>
      <c r="B155" s="159" t="s">
        <v>5</v>
      </c>
      <c r="C155" s="159" t="s">
        <v>6</v>
      </c>
      <c r="D155" s="159" t="s">
        <v>7</v>
      </c>
      <c r="E155" s="159" t="s">
        <v>9</v>
      </c>
      <c r="F155" s="159" t="s">
        <v>8</v>
      </c>
      <c r="G155" s="159" t="s">
        <v>417</v>
      </c>
      <c r="H155" s="33"/>
      <c r="I155" s="33"/>
      <c r="J155" s="33"/>
      <c r="K155" s="33"/>
      <c r="L155" s="33"/>
      <c r="M155" s="33"/>
    </row>
    <row r="156" spans="1:13" s="7" customFormat="1" ht="17.25">
      <c r="A156" s="30" t="s">
        <v>101</v>
      </c>
      <c r="B156" s="19"/>
      <c r="C156" s="19"/>
      <c r="D156" s="19"/>
      <c r="E156" s="19"/>
      <c r="F156" s="19"/>
      <c r="G156" s="19"/>
      <c r="H156" s="1"/>
      <c r="I156" s="1"/>
      <c r="J156" s="1"/>
      <c r="K156" s="1"/>
      <c r="L156" s="1"/>
      <c r="M156" s="1"/>
    </row>
    <row r="157" spans="1:13" s="7" customFormat="1" ht="17.25">
      <c r="A157" s="21" t="s">
        <v>33</v>
      </c>
      <c r="B157" s="18"/>
      <c r="C157" s="18"/>
      <c r="D157" s="18"/>
      <c r="E157" s="18"/>
      <c r="F157" s="18"/>
      <c r="G157" s="18"/>
      <c r="H157" s="1"/>
      <c r="I157" s="1"/>
      <c r="J157" s="1"/>
      <c r="K157" s="1"/>
      <c r="L157" s="1"/>
      <c r="M157" s="1"/>
    </row>
    <row r="158" spans="1:13" s="7" customFormat="1" ht="17.25">
      <c r="A158" s="12" t="s">
        <v>41</v>
      </c>
      <c r="B158" s="19"/>
      <c r="C158" s="19"/>
      <c r="D158" s="19"/>
      <c r="E158" s="19"/>
      <c r="F158" s="19"/>
      <c r="G158" s="19"/>
      <c r="H158" s="1"/>
      <c r="I158" s="1"/>
      <c r="J158" s="1"/>
      <c r="K158" s="1"/>
      <c r="L158" s="1"/>
      <c r="M158" s="1"/>
    </row>
    <row r="159" spans="1:13" s="7" customFormat="1" ht="17.25">
      <c r="A159" s="51" t="s">
        <v>44</v>
      </c>
      <c r="B159" s="200"/>
      <c r="C159" s="200"/>
      <c r="D159" s="200"/>
      <c r="E159" s="200"/>
      <c r="F159" s="200"/>
      <c r="G159" s="200"/>
      <c r="H159" s="1"/>
      <c r="I159" s="1"/>
      <c r="J159" s="1"/>
      <c r="K159" s="1"/>
      <c r="L159" s="1"/>
      <c r="M159" s="1"/>
    </row>
    <row r="160" spans="1:13" s="7" customFormat="1" ht="17.25">
      <c r="A160" s="24" t="s">
        <v>45</v>
      </c>
      <c r="B160" s="202"/>
      <c r="C160" s="202"/>
      <c r="D160" s="202"/>
      <c r="E160" s="202"/>
      <c r="F160" s="202"/>
      <c r="G160" s="202"/>
      <c r="H160" s="1"/>
      <c r="I160" s="1"/>
      <c r="J160" s="1"/>
      <c r="K160" s="1"/>
      <c r="L160" s="1"/>
      <c r="M160" s="1"/>
    </row>
    <row r="161" spans="1:13" s="7" customFormat="1" ht="17.25">
      <c r="A161" s="4" t="s">
        <v>102</v>
      </c>
      <c r="B161" s="55">
        <v>0</v>
      </c>
      <c r="C161" s="56">
        <v>21100</v>
      </c>
      <c r="D161" s="55">
        <v>1665</v>
      </c>
      <c r="E161" s="56">
        <v>0</v>
      </c>
      <c r="F161" s="75"/>
      <c r="G161" s="54">
        <v>0</v>
      </c>
      <c r="H161" s="1"/>
      <c r="I161" s="1"/>
      <c r="J161" s="1"/>
      <c r="K161" s="1"/>
      <c r="L161" s="1"/>
      <c r="M161" s="1"/>
    </row>
    <row r="162" spans="1:13" s="7" customFormat="1" ht="17.25">
      <c r="A162" s="4" t="s">
        <v>447</v>
      </c>
      <c r="B162" s="200">
        <v>0</v>
      </c>
      <c r="C162" s="200">
        <v>0</v>
      </c>
      <c r="D162" s="200">
        <v>0</v>
      </c>
      <c r="E162" s="200">
        <v>0</v>
      </c>
      <c r="F162" s="211">
        <v>1</v>
      </c>
      <c r="G162" s="200">
        <v>20000</v>
      </c>
      <c r="H162" s="1"/>
      <c r="I162" s="1"/>
      <c r="J162" s="1"/>
      <c r="K162" s="1"/>
      <c r="L162" s="1"/>
      <c r="M162" s="1"/>
    </row>
    <row r="163" spans="1:13" s="7" customFormat="1" ht="17.25">
      <c r="A163" s="18" t="s">
        <v>448</v>
      </c>
      <c r="B163" s="202"/>
      <c r="C163" s="202"/>
      <c r="D163" s="202"/>
      <c r="E163" s="202"/>
      <c r="F163" s="223"/>
      <c r="G163" s="202"/>
      <c r="H163" s="1"/>
      <c r="I163" s="1"/>
      <c r="J163" s="1"/>
      <c r="K163" s="1"/>
      <c r="L163" s="1"/>
      <c r="M163" s="1"/>
    </row>
    <row r="164" spans="1:13" s="7" customFormat="1" ht="17.25">
      <c r="A164" s="5" t="s">
        <v>304</v>
      </c>
      <c r="B164" s="200">
        <v>0</v>
      </c>
      <c r="C164" s="200">
        <v>0</v>
      </c>
      <c r="D164" s="200">
        <v>0</v>
      </c>
      <c r="E164" s="200">
        <v>35000</v>
      </c>
      <c r="F164" s="203">
        <v>-1</v>
      </c>
      <c r="G164" s="200">
        <v>0</v>
      </c>
      <c r="H164" s="1"/>
      <c r="I164" s="1"/>
      <c r="J164" s="1"/>
      <c r="K164" s="1"/>
      <c r="L164" s="1"/>
      <c r="M164" s="1"/>
    </row>
    <row r="165" spans="1:13" s="7" customFormat="1" ht="17.25">
      <c r="A165" s="18" t="s">
        <v>305</v>
      </c>
      <c r="B165" s="202"/>
      <c r="C165" s="202"/>
      <c r="D165" s="202"/>
      <c r="E165" s="202"/>
      <c r="F165" s="202"/>
      <c r="G165" s="202"/>
      <c r="H165" s="1"/>
      <c r="I165" s="1"/>
      <c r="J165" s="1"/>
      <c r="K165" s="1"/>
      <c r="L165" s="1"/>
      <c r="M165" s="1"/>
    </row>
    <row r="166" spans="1:13" s="7" customFormat="1" ht="17.25">
      <c r="A166" s="15" t="s">
        <v>50</v>
      </c>
      <c r="B166" s="93">
        <v>0</v>
      </c>
      <c r="C166" s="93">
        <v>21100</v>
      </c>
      <c r="D166" s="93">
        <v>1665</v>
      </c>
      <c r="E166" s="93">
        <v>35000</v>
      </c>
      <c r="F166" s="73"/>
      <c r="G166" s="93">
        <v>20000</v>
      </c>
      <c r="H166" s="1"/>
      <c r="I166" s="1"/>
      <c r="J166" s="1"/>
      <c r="K166" s="1"/>
      <c r="L166" s="1"/>
      <c r="M166" s="1"/>
    </row>
    <row r="167" spans="1:13" s="7" customFormat="1" ht="17.25">
      <c r="A167" s="15" t="s">
        <v>68</v>
      </c>
      <c r="B167" s="92">
        <v>0</v>
      </c>
      <c r="C167" s="92">
        <v>21100</v>
      </c>
      <c r="D167" s="92">
        <v>1665</v>
      </c>
      <c r="E167" s="92">
        <v>35000</v>
      </c>
      <c r="F167" s="92"/>
      <c r="G167" s="92">
        <v>20000</v>
      </c>
      <c r="H167" s="1"/>
      <c r="I167" s="1"/>
      <c r="J167" s="1"/>
      <c r="K167" s="1"/>
      <c r="L167" s="1"/>
    </row>
    <row r="168" spans="1:13" s="7" customFormat="1" ht="17.25">
      <c r="A168" s="16" t="s">
        <v>103</v>
      </c>
      <c r="B168" s="60">
        <v>0</v>
      </c>
      <c r="C168" s="60">
        <v>21100</v>
      </c>
      <c r="D168" s="60">
        <v>1665</v>
      </c>
      <c r="E168" s="60">
        <v>35000</v>
      </c>
      <c r="F168" s="60"/>
      <c r="G168" s="60">
        <v>20000</v>
      </c>
      <c r="H168" s="1"/>
      <c r="I168" s="1"/>
      <c r="J168" s="1"/>
      <c r="K168" s="1"/>
      <c r="L168" s="1"/>
    </row>
    <row r="169" spans="1:13" s="7" customFormat="1" ht="17.25">
      <c r="A169" s="11" t="s">
        <v>104</v>
      </c>
      <c r="B169" s="57"/>
      <c r="C169" s="57"/>
      <c r="D169" s="57"/>
      <c r="E169" s="57"/>
      <c r="F169" s="57"/>
      <c r="G169" s="57"/>
      <c r="H169" s="1"/>
      <c r="I169" s="1"/>
      <c r="J169" s="1"/>
      <c r="K169" s="1"/>
      <c r="L169" s="1"/>
    </row>
    <row r="170" spans="1:13" s="7" customFormat="1" ht="17.25">
      <c r="A170" s="11" t="s">
        <v>105</v>
      </c>
      <c r="B170" s="65"/>
      <c r="C170" s="65"/>
      <c r="D170" s="65"/>
      <c r="E170" s="65"/>
      <c r="F170" s="65"/>
      <c r="G170" s="65"/>
      <c r="H170" s="1"/>
      <c r="I170" s="1"/>
      <c r="J170" s="1"/>
      <c r="K170" s="1"/>
      <c r="L170" s="1"/>
    </row>
    <row r="171" spans="1:13" s="7" customFormat="1" ht="17.25">
      <c r="A171" s="23" t="s">
        <v>24</v>
      </c>
      <c r="B171" s="66"/>
      <c r="C171" s="66"/>
      <c r="D171" s="66"/>
      <c r="E171" s="66"/>
      <c r="F171" s="66"/>
      <c r="G171" s="66"/>
      <c r="H171" s="1"/>
      <c r="I171" s="1"/>
      <c r="J171" s="1"/>
      <c r="K171" s="1"/>
      <c r="L171" s="1"/>
    </row>
    <row r="172" spans="1:13" s="7" customFormat="1" ht="17.25">
      <c r="A172" s="8" t="s">
        <v>25</v>
      </c>
      <c r="B172" s="65">
        <v>907559.67</v>
      </c>
      <c r="C172" s="65">
        <v>1037587.42</v>
      </c>
      <c r="D172" s="65">
        <f>921.61+1178620</f>
        <v>1179541.6100000001</v>
      </c>
      <c r="E172" s="65">
        <v>1236360</v>
      </c>
      <c r="F172" s="62">
        <v>6.0499999999999998E-2</v>
      </c>
      <c r="G172" s="65">
        <v>1311120</v>
      </c>
      <c r="H172" s="1"/>
      <c r="I172" s="1"/>
      <c r="J172" s="1"/>
      <c r="K172" s="1"/>
      <c r="L172" s="1"/>
    </row>
    <row r="173" spans="1:13" s="7" customFormat="1" ht="17.25">
      <c r="A173" s="5" t="s">
        <v>26</v>
      </c>
      <c r="B173" s="66">
        <v>0</v>
      </c>
      <c r="C173" s="66">
        <v>42000</v>
      </c>
      <c r="D173" s="66">
        <v>42000</v>
      </c>
      <c r="E173" s="66">
        <v>42000</v>
      </c>
      <c r="F173" s="74">
        <v>0</v>
      </c>
      <c r="G173" s="66">
        <v>42000</v>
      </c>
      <c r="H173" s="1"/>
      <c r="I173" s="1"/>
      <c r="J173" s="1"/>
      <c r="K173" s="1"/>
      <c r="L173" s="1"/>
    </row>
    <row r="174" spans="1:13" ht="17.25">
      <c r="A174" s="27" t="s">
        <v>27</v>
      </c>
      <c r="B174" s="83">
        <v>147420</v>
      </c>
      <c r="C174" s="83">
        <v>185340</v>
      </c>
      <c r="D174" s="83">
        <v>192360</v>
      </c>
      <c r="E174" s="83">
        <v>207240</v>
      </c>
      <c r="F174" s="99">
        <v>5.33E-2</v>
      </c>
      <c r="G174" s="83">
        <v>218280</v>
      </c>
      <c r="H174" s="1"/>
      <c r="I174" s="1"/>
      <c r="J174" s="1"/>
      <c r="K174" s="1"/>
      <c r="L174" s="1"/>
    </row>
    <row r="175" spans="1:13" ht="17.25">
      <c r="A175" s="22" t="s">
        <v>28</v>
      </c>
      <c r="B175" s="65">
        <v>542570</v>
      </c>
      <c r="C175" s="65">
        <v>561360</v>
      </c>
      <c r="D175" s="65">
        <v>450000</v>
      </c>
      <c r="E175" s="65">
        <v>405000</v>
      </c>
      <c r="F175" s="75" t="s">
        <v>449</v>
      </c>
      <c r="G175" s="65">
        <v>412560</v>
      </c>
      <c r="H175" s="1"/>
      <c r="I175" s="1"/>
      <c r="J175" s="1"/>
      <c r="K175" s="1"/>
      <c r="L175" s="1"/>
    </row>
    <row r="176" spans="1:13" ht="17.25">
      <c r="A176" s="26" t="s">
        <v>106</v>
      </c>
      <c r="B176" s="66">
        <v>0</v>
      </c>
      <c r="C176" s="66">
        <v>72000</v>
      </c>
      <c r="D176" s="66">
        <v>30000</v>
      </c>
      <c r="E176" s="66">
        <v>24000</v>
      </c>
      <c r="F176" s="82" t="s">
        <v>322</v>
      </c>
      <c r="G176" s="66">
        <v>24000</v>
      </c>
      <c r="H176" s="1"/>
      <c r="I176" s="1"/>
      <c r="J176" s="1"/>
      <c r="K176" s="1"/>
      <c r="L176" s="1"/>
    </row>
    <row r="177" spans="1:13" ht="17.25">
      <c r="A177" s="32" t="s">
        <v>107</v>
      </c>
      <c r="B177" s="97">
        <f>SUM(B172:B176)</f>
        <v>1597549.67</v>
      </c>
      <c r="C177" s="97">
        <f>SUM(C172:C176)</f>
        <v>1898287.42</v>
      </c>
      <c r="D177" s="97">
        <f>SUM(D172:D176)</f>
        <v>1893901.61</v>
      </c>
      <c r="E177" s="97">
        <f>SUM(E172:E176)</f>
        <v>1914600</v>
      </c>
      <c r="F177" s="98"/>
      <c r="G177" s="97">
        <f>SUM(G172:G176)</f>
        <v>2007960</v>
      </c>
      <c r="H177" s="1"/>
      <c r="I177" s="1"/>
      <c r="J177" s="1"/>
      <c r="K177" s="1"/>
      <c r="L177" s="1"/>
    </row>
    <row r="178" spans="1:13" ht="17.25">
      <c r="A178" s="16" t="s">
        <v>108</v>
      </c>
      <c r="B178" s="93">
        <f>B177</f>
        <v>1597549.67</v>
      </c>
      <c r="C178" s="93">
        <f>C177</f>
        <v>1898287.42</v>
      </c>
      <c r="D178" s="93">
        <f>D177</f>
        <v>1893901.61</v>
      </c>
      <c r="E178" s="93">
        <f>E177</f>
        <v>1914600</v>
      </c>
      <c r="F178" s="73"/>
      <c r="G178" s="93">
        <f>G177</f>
        <v>2007960</v>
      </c>
      <c r="H178" s="1"/>
      <c r="I178" s="1"/>
      <c r="J178" s="1"/>
      <c r="K178" s="1"/>
      <c r="L178" s="1"/>
    </row>
    <row r="179" spans="1:13" ht="17.25">
      <c r="A179" s="23" t="s">
        <v>33</v>
      </c>
      <c r="B179" s="66"/>
      <c r="C179" s="66"/>
      <c r="D179" s="66"/>
      <c r="E179" s="66"/>
      <c r="F179" s="69"/>
      <c r="G179" s="66"/>
      <c r="H179" s="1"/>
      <c r="I179" s="1"/>
      <c r="J179" s="1"/>
      <c r="K179" s="1"/>
      <c r="L179" s="1"/>
    </row>
    <row r="180" spans="1:13" ht="17.25">
      <c r="A180" s="30" t="s">
        <v>34</v>
      </c>
      <c r="B180" s="83"/>
      <c r="C180" s="83"/>
      <c r="D180" s="83"/>
      <c r="E180" s="83"/>
      <c r="F180" s="76"/>
      <c r="G180" s="83"/>
    </row>
    <row r="181" spans="1:13" ht="17.25">
      <c r="A181" s="27" t="s">
        <v>301</v>
      </c>
      <c r="B181" s="200">
        <f>593956-10000</f>
        <v>583956</v>
      </c>
      <c r="C181" s="200">
        <v>229275</v>
      </c>
      <c r="D181" s="200">
        <f>224874.05-444.05</f>
        <v>224430</v>
      </c>
      <c r="E181" s="200">
        <v>107025</v>
      </c>
      <c r="F181" s="207" t="s">
        <v>450</v>
      </c>
      <c r="G181" s="200">
        <v>110900</v>
      </c>
    </row>
    <row r="182" spans="1:13" ht="17.25">
      <c r="A182" s="24" t="s">
        <v>302</v>
      </c>
      <c r="B182" s="202"/>
      <c r="C182" s="202"/>
      <c r="D182" s="202"/>
      <c r="E182" s="202"/>
      <c r="F182" s="202"/>
      <c r="G182" s="202"/>
    </row>
    <row r="183" spans="1:13" ht="17.25">
      <c r="A183" s="26" t="s">
        <v>109</v>
      </c>
      <c r="B183" s="57">
        <v>10000</v>
      </c>
      <c r="C183" s="57">
        <v>10000</v>
      </c>
      <c r="D183" s="57">
        <v>0</v>
      </c>
      <c r="E183" s="57">
        <v>10000</v>
      </c>
      <c r="F183" s="131" t="s">
        <v>451</v>
      </c>
      <c r="G183" s="57">
        <v>2000</v>
      </c>
    </row>
    <row r="184" spans="1:13" s="50" customFormat="1" ht="17.25">
      <c r="A184" s="49"/>
      <c r="B184" s="44"/>
      <c r="C184" s="44"/>
      <c r="D184" s="44"/>
      <c r="E184" s="44"/>
      <c r="F184" s="44"/>
      <c r="G184" s="44"/>
    </row>
    <row r="185" spans="1:13" s="34" customFormat="1" ht="17.25">
      <c r="A185" s="199"/>
      <c r="B185" s="199" t="s">
        <v>3</v>
      </c>
      <c r="C185" s="199"/>
      <c r="D185" s="199"/>
      <c r="E185" s="199" t="s">
        <v>4</v>
      </c>
      <c r="F185" s="199"/>
      <c r="G185" s="199"/>
      <c r="H185" s="33"/>
      <c r="I185" s="33"/>
      <c r="J185" s="33"/>
      <c r="K185" s="33"/>
      <c r="L185" s="33"/>
      <c r="M185" s="33"/>
    </row>
    <row r="186" spans="1:13" s="34" customFormat="1" ht="17.25">
      <c r="A186" s="199"/>
      <c r="B186" s="159" t="s">
        <v>5</v>
      </c>
      <c r="C186" s="159" t="s">
        <v>6</v>
      </c>
      <c r="D186" s="159" t="s">
        <v>7</v>
      </c>
      <c r="E186" s="159" t="s">
        <v>9</v>
      </c>
      <c r="F186" s="159" t="s">
        <v>8</v>
      </c>
      <c r="G186" s="159" t="s">
        <v>417</v>
      </c>
      <c r="H186" s="33"/>
      <c r="I186" s="33"/>
      <c r="J186" s="33"/>
      <c r="K186" s="33"/>
      <c r="L186" s="33"/>
      <c r="M186" s="33"/>
    </row>
    <row r="187" spans="1:13" ht="17.25">
      <c r="A187" s="22" t="s">
        <v>110</v>
      </c>
      <c r="B187" s="56">
        <v>19068.490000000002</v>
      </c>
      <c r="C187" s="56">
        <v>17010</v>
      </c>
      <c r="D187" s="56">
        <v>18870</v>
      </c>
      <c r="E187" s="56">
        <v>30000</v>
      </c>
      <c r="F187" s="68"/>
      <c r="G187" s="56">
        <v>30000</v>
      </c>
    </row>
    <row r="188" spans="1:13" s="7" customFormat="1" ht="17.25">
      <c r="A188" s="16" t="s">
        <v>40</v>
      </c>
      <c r="B188" s="93">
        <f>B182+B183+B187+B181</f>
        <v>613024.49</v>
      </c>
      <c r="C188" s="93">
        <f>C181+C182+C183+C187</f>
        <v>256285</v>
      </c>
      <c r="D188" s="93">
        <f>D181+D182+D183+D187</f>
        <v>243300</v>
      </c>
      <c r="E188" s="93">
        <f>E181+E182+E183+E187</f>
        <v>147025</v>
      </c>
      <c r="F188" s="73"/>
      <c r="G188" s="93">
        <f>G181+G182+G183+G187</f>
        <v>142900</v>
      </c>
      <c r="H188" s="1"/>
      <c r="I188" s="1"/>
      <c r="J188" s="1"/>
      <c r="K188" s="1"/>
      <c r="L188" s="1"/>
      <c r="M188" s="1"/>
    </row>
    <row r="189" spans="1:13" s="7" customFormat="1" ht="17.25">
      <c r="A189" s="21" t="s">
        <v>41</v>
      </c>
      <c r="B189" s="65"/>
      <c r="C189" s="65"/>
      <c r="D189" s="65"/>
      <c r="E189" s="65"/>
      <c r="F189" s="68"/>
      <c r="G189" s="65"/>
      <c r="H189" s="1"/>
      <c r="I189" s="1"/>
      <c r="J189" s="1"/>
      <c r="K189" s="1"/>
      <c r="L189" s="1"/>
      <c r="M189" s="1"/>
    </row>
    <row r="190" spans="1:13" s="7" customFormat="1" ht="17.25">
      <c r="A190" s="26" t="s">
        <v>42</v>
      </c>
      <c r="B190" s="66">
        <v>30858.05</v>
      </c>
      <c r="C190" s="66">
        <v>27330.85</v>
      </c>
      <c r="D190" s="66">
        <v>1660.05</v>
      </c>
      <c r="E190" s="66">
        <v>20000</v>
      </c>
      <c r="F190" s="82" t="s">
        <v>452</v>
      </c>
      <c r="G190" s="66">
        <v>216000</v>
      </c>
      <c r="H190" s="1"/>
      <c r="I190" s="1"/>
      <c r="J190" s="1"/>
      <c r="K190" s="1"/>
      <c r="L190" s="1"/>
      <c r="M190" s="1"/>
    </row>
    <row r="191" spans="1:13" s="7" customFormat="1" ht="17.25">
      <c r="A191" s="27" t="s">
        <v>44</v>
      </c>
      <c r="B191" s="200"/>
      <c r="C191" s="200"/>
      <c r="D191" s="200"/>
      <c r="E191" s="200"/>
      <c r="F191" s="200"/>
      <c r="G191" s="200"/>
      <c r="H191" s="1"/>
      <c r="I191" s="1"/>
      <c r="J191" s="1"/>
      <c r="K191" s="1"/>
      <c r="L191" s="1"/>
      <c r="M191" s="1"/>
    </row>
    <row r="192" spans="1:13" s="7" customFormat="1" ht="17.25">
      <c r="A192" s="24" t="s">
        <v>45</v>
      </c>
      <c r="B192" s="202"/>
      <c r="C192" s="202"/>
      <c r="D192" s="202"/>
      <c r="E192" s="202"/>
      <c r="F192" s="202"/>
      <c r="G192" s="202"/>
      <c r="H192" s="1"/>
      <c r="I192" s="1"/>
      <c r="J192" s="1"/>
      <c r="K192" s="1"/>
      <c r="L192" s="1"/>
      <c r="M192" s="1"/>
    </row>
    <row r="193" spans="1:13" s="7" customFormat="1" ht="17.25">
      <c r="A193" s="6" t="s">
        <v>46</v>
      </c>
      <c r="B193" s="65">
        <v>0</v>
      </c>
      <c r="C193" s="65">
        <v>31000</v>
      </c>
      <c r="D193" s="65">
        <v>5904</v>
      </c>
      <c r="E193" s="65">
        <v>0</v>
      </c>
      <c r="F193" s="82" t="s">
        <v>320</v>
      </c>
      <c r="G193" s="65">
        <v>20000</v>
      </c>
      <c r="H193" s="1"/>
      <c r="I193" s="1"/>
      <c r="J193" s="1"/>
      <c r="K193" s="1"/>
      <c r="L193" s="1"/>
      <c r="M193" s="1"/>
    </row>
    <row r="194" spans="1:13" s="7" customFormat="1" ht="17.25">
      <c r="A194" s="6" t="s">
        <v>453</v>
      </c>
      <c r="B194" s="200">
        <v>0</v>
      </c>
      <c r="C194" s="200">
        <v>0</v>
      </c>
      <c r="D194" s="200">
        <v>0</v>
      </c>
      <c r="E194" s="200">
        <v>0</v>
      </c>
      <c r="F194" s="211">
        <v>1</v>
      </c>
      <c r="G194" s="200">
        <v>80000</v>
      </c>
      <c r="H194" s="1"/>
      <c r="I194" s="1"/>
      <c r="J194" s="1"/>
      <c r="K194" s="1"/>
      <c r="L194" s="1"/>
      <c r="M194" s="1"/>
    </row>
    <row r="195" spans="1:13" s="7" customFormat="1" ht="17.25">
      <c r="A195" s="24" t="s">
        <v>454</v>
      </c>
      <c r="B195" s="202"/>
      <c r="C195" s="202"/>
      <c r="D195" s="202"/>
      <c r="E195" s="202"/>
      <c r="F195" s="223"/>
      <c r="G195" s="202"/>
      <c r="H195" s="1"/>
      <c r="I195" s="1"/>
      <c r="J195" s="1"/>
      <c r="K195" s="1"/>
      <c r="L195" s="1"/>
      <c r="M195" s="1"/>
    </row>
    <row r="196" spans="1:13" s="7" customFormat="1" ht="17.25">
      <c r="A196" s="31" t="s">
        <v>111</v>
      </c>
      <c r="B196" s="65">
        <v>0</v>
      </c>
      <c r="C196" s="65">
        <v>0</v>
      </c>
      <c r="D196" s="65">
        <v>5000</v>
      </c>
      <c r="E196" s="65">
        <v>0</v>
      </c>
      <c r="F196" s="82"/>
      <c r="G196" s="65">
        <v>0</v>
      </c>
      <c r="H196" s="1"/>
      <c r="I196" s="1"/>
      <c r="J196" s="1"/>
      <c r="K196" s="1"/>
      <c r="L196" s="1"/>
      <c r="M196" s="1"/>
    </row>
    <row r="197" spans="1:13" s="7" customFormat="1" ht="17.25">
      <c r="A197" s="22" t="s">
        <v>112</v>
      </c>
      <c r="B197" s="66">
        <v>0</v>
      </c>
      <c r="C197" s="66">
        <v>0</v>
      </c>
      <c r="D197" s="66">
        <v>5000</v>
      </c>
      <c r="E197" s="66">
        <v>0</v>
      </c>
      <c r="F197" s="82" t="s">
        <v>320</v>
      </c>
      <c r="G197" s="66">
        <v>5000</v>
      </c>
      <c r="H197" s="1"/>
      <c r="I197" s="1"/>
      <c r="J197" s="1"/>
      <c r="K197" s="1"/>
      <c r="L197" s="1"/>
      <c r="M197" s="1"/>
    </row>
    <row r="198" spans="1:13" s="7" customFormat="1" ht="17.25">
      <c r="A198" s="8" t="s">
        <v>113</v>
      </c>
      <c r="B198" s="55">
        <v>0</v>
      </c>
      <c r="C198" s="56">
        <v>10000</v>
      </c>
      <c r="D198" s="56">
        <v>0</v>
      </c>
      <c r="E198" s="54">
        <v>0</v>
      </c>
      <c r="F198" s="82" t="s">
        <v>320</v>
      </c>
      <c r="G198" s="54">
        <v>5000</v>
      </c>
      <c r="H198" s="1"/>
      <c r="I198" s="1"/>
      <c r="J198" s="1"/>
      <c r="K198" s="1"/>
      <c r="L198" s="1"/>
      <c r="M198" s="1"/>
    </row>
    <row r="199" spans="1:13" s="7" customFormat="1" ht="17.25">
      <c r="A199" s="4" t="s">
        <v>46</v>
      </c>
      <c r="B199" s="83">
        <v>0</v>
      </c>
      <c r="C199" s="83">
        <v>0</v>
      </c>
      <c r="D199" s="83">
        <v>0</v>
      </c>
      <c r="E199" s="83">
        <v>30000</v>
      </c>
      <c r="F199" s="82" t="s">
        <v>318</v>
      </c>
      <c r="G199" s="83">
        <v>0</v>
      </c>
      <c r="H199" s="1"/>
      <c r="I199" s="1"/>
      <c r="J199" s="1"/>
      <c r="K199" s="1"/>
      <c r="L199" s="1"/>
      <c r="M199" s="1"/>
    </row>
    <row r="200" spans="1:13" s="7" customFormat="1" ht="17.25">
      <c r="A200" s="17" t="s">
        <v>307</v>
      </c>
      <c r="B200" s="200">
        <v>0</v>
      </c>
      <c r="C200" s="200">
        <v>100000</v>
      </c>
      <c r="D200" s="200">
        <v>0</v>
      </c>
      <c r="E200" s="200">
        <v>100000</v>
      </c>
      <c r="F200" s="203">
        <v>-1</v>
      </c>
      <c r="G200" s="200">
        <v>0</v>
      </c>
      <c r="H200" s="1"/>
      <c r="I200" s="1"/>
      <c r="J200" s="1"/>
      <c r="K200" s="1"/>
      <c r="L200" s="1"/>
      <c r="M200" s="1"/>
    </row>
    <row r="201" spans="1:13" s="7" customFormat="1" ht="17.25">
      <c r="A201" s="24" t="s">
        <v>306</v>
      </c>
      <c r="B201" s="202"/>
      <c r="C201" s="202"/>
      <c r="D201" s="202"/>
      <c r="E201" s="202"/>
      <c r="F201" s="202"/>
      <c r="G201" s="202"/>
      <c r="H201" s="1"/>
      <c r="I201" s="1"/>
      <c r="J201" s="1"/>
      <c r="K201" s="1"/>
      <c r="L201" s="1"/>
      <c r="M201" s="1"/>
    </row>
    <row r="202" spans="1:13" s="7" customFormat="1" ht="17.25">
      <c r="A202" s="24" t="s">
        <v>114</v>
      </c>
      <c r="B202" s="66">
        <v>0</v>
      </c>
      <c r="C202" s="66">
        <v>0</v>
      </c>
      <c r="D202" s="66">
        <v>0</v>
      </c>
      <c r="E202" s="66">
        <v>5000</v>
      </c>
      <c r="F202" s="74">
        <v>-1</v>
      </c>
      <c r="G202" s="66">
        <v>0</v>
      </c>
      <c r="H202" s="1"/>
      <c r="I202" s="1"/>
      <c r="J202" s="1"/>
      <c r="K202" s="1"/>
      <c r="L202" s="1"/>
    </row>
    <row r="203" spans="1:13" s="7" customFormat="1" ht="17.25">
      <c r="A203" s="22" t="s">
        <v>49</v>
      </c>
      <c r="B203" s="56">
        <v>0</v>
      </c>
      <c r="C203" s="56">
        <v>21000</v>
      </c>
      <c r="D203" s="56">
        <v>15570</v>
      </c>
      <c r="E203" s="56">
        <v>40000</v>
      </c>
      <c r="F203" s="59">
        <v>-0.45</v>
      </c>
      <c r="G203" s="56">
        <v>22000</v>
      </c>
      <c r="H203" s="1"/>
      <c r="I203" s="1"/>
      <c r="J203" s="1"/>
      <c r="K203" s="1"/>
      <c r="L203" s="1"/>
    </row>
    <row r="204" spans="1:13" s="7" customFormat="1" ht="17.25">
      <c r="A204" s="16" t="s">
        <v>50</v>
      </c>
      <c r="B204" s="100">
        <f>SUM(B190:B203)</f>
        <v>30858.05</v>
      </c>
      <c r="C204" s="100">
        <f>SUM(C190:C203)</f>
        <v>189330.85</v>
      </c>
      <c r="D204" s="100">
        <f>SUM(D190:D203)</f>
        <v>33134.050000000003</v>
      </c>
      <c r="E204" s="100">
        <f>SUM(E190:E203)</f>
        <v>195000</v>
      </c>
      <c r="F204" s="101"/>
      <c r="G204" s="100">
        <f>SUM(G190:G203)</f>
        <v>348000</v>
      </c>
      <c r="H204" s="1"/>
      <c r="I204" s="1"/>
      <c r="J204" s="1"/>
      <c r="K204" s="1"/>
      <c r="L204" s="1"/>
    </row>
    <row r="205" spans="1:13" s="7" customFormat="1" ht="17.25">
      <c r="A205" s="11" t="s">
        <v>51</v>
      </c>
      <c r="B205" s="65"/>
      <c r="C205" s="65"/>
      <c r="D205" s="65"/>
      <c r="E205" s="65"/>
      <c r="F205" s="68"/>
      <c r="G205" s="65"/>
      <c r="H205" s="1"/>
      <c r="I205" s="1"/>
      <c r="J205" s="1"/>
      <c r="K205" s="1"/>
      <c r="L205" s="1"/>
    </row>
    <row r="206" spans="1:13" s="7" customFormat="1" ht="17.25">
      <c r="A206" s="24" t="s">
        <v>52</v>
      </c>
      <c r="B206" s="66">
        <v>131827</v>
      </c>
      <c r="C206" s="66">
        <v>191236</v>
      </c>
      <c r="D206" s="66">
        <f>120000-1444</f>
        <v>118556</v>
      </c>
      <c r="E206" s="66">
        <v>100000</v>
      </c>
      <c r="F206" s="130" t="s">
        <v>456</v>
      </c>
      <c r="G206" s="66">
        <v>70000</v>
      </c>
      <c r="H206" s="1"/>
      <c r="I206" s="1"/>
      <c r="J206" s="1"/>
      <c r="K206" s="1"/>
      <c r="L206" s="1"/>
    </row>
    <row r="207" spans="1:13" s="7" customFormat="1" ht="17.25">
      <c r="A207" s="24" t="s">
        <v>56</v>
      </c>
      <c r="B207" s="66">
        <v>0</v>
      </c>
      <c r="C207" s="66">
        <v>0</v>
      </c>
      <c r="D207" s="66">
        <v>0</v>
      </c>
      <c r="E207" s="66">
        <v>0</v>
      </c>
      <c r="F207" s="105">
        <v>1</v>
      </c>
      <c r="G207" s="66">
        <v>5000</v>
      </c>
      <c r="H207" s="1"/>
      <c r="I207" s="1"/>
      <c r="J207" s="1"/>
      <c r="K207" s="1"/>
      <c r="L207" s="1"/>
    </row>
    <row r="208" spans="1:13" s="7" customFormat="1" ht="17.25">
      <c r="A208" s="8" t="s">
        <v>57</v>
      </c>
      <c r="B208" s="65">
        <v>0</v>
      </c>
      <c r="C208" s="65">
        <v>0</v>
      </c>
      <c r="D208" s="65">
        <f>10000-100</f>
        <v>9900</v>
      </c>
      <c r="E208" s="65">
        <v>10000</v>
      </c>
      <c r="F208" s="59">
        <v>0</v>
      </c>
      <c r="G208" s="65">
        <v>10000</v>
      </c>
      <c r="H208" s="1"/>
      <c r="I208" s="1"/>
      <c r="J208" s="1"/>
      <c r="K208" s="1"/>
      <c r="L208" s="1"/>
    </row>
    <row r="209" spans="1:13" s="7" customFormat="1" ht="17.25">
      <c r="A209" s="5" t="s">
        <v>58</v>
      </c>
      <c r="B209" s="66">
        <v>60500</v>
      </c>
      <c r="C209" s="66">
        <v>39460</v>
      </c>
      <c r="D209" s="66">
        <f>55000-590</f>
        <v>54410</v>
      </c>
      <c r="E209" s="66">
        <v>70000</v>
      </c>
      <c r="F209" s="95">
        <v>-0.1429</v>
      </c>
      <c r="G209" s="66">
        <v>60000</v>
      </c>
      <c r="H209" s="1"/>
      <c r="I209" s="1"/>
      <c r="J209" s="1"/>
      <c r="K209" s="1"/>
      <c r="L209" s="1"/>
    </row>
    <row r="210" spans="1:13" ht="17.25">
      <c r="A210" s="32" t="s">
        <v>60</v>
      </c>
      <c r="B210" s="97">
        <f>SUM(B206:B209)</f>
        <v>192327</v>
      </c>
      <c r="C210" s="97">
        <f>SUM(C206:C209)</f>
        <v>230696</v>
      </c>
      <c r="D210" s="97">
        <f>SUM(D206:D209)</f>
        <v>182866</v>
      </c>
      <c r="E210" s="97">
        <f>SUM(E206:E209)</f>
        <v>180000</v>
      </c>
      <c r="F210" s="98"/>
      <c r="G210" s="97">
        <f>SUM(G206:G209)</f>
        <v>145000</v>
      </c>
      <c r="H210" s="1"/>
      <c r="I210" s="1"/>
      <c r="J210" s="1"/>
      <c r="K210" s="1"/>
      <c r="L210" s="1"/>
    </row>
    <row r="211" spans="1:13" ht="17.25">
      <c r="A211" s="32" t="s">
        <v>68</v>
      </c>
      <c r="B211" s="97">
        <f>B188+B204+B210</f>
        <v>836209.54</v>
      </c>
      <c r="C211" s="97">
        <f>C188+C204+C210</f>
        <v>676311.85</v>
      </c>
      <c r="D211" s="97">
        <f>D188+D204+D210</f>
        <v>459300.05</v>
      </c>
      <c r="E211" s="97">
        <f>E188+E204+E210</f>
        <v>522025</v>
      </c>
      <c r="F211" s="98"/>
      <c r="G211" s="97">
        <f>G188+G204+G210</f>
        <v>635900</v>
      </c>
      <c r="H211" s="1"/>
      <c r="I211" s="1"/>
      <c r="J211" s="1"/>
      <c r="K211" s="1"/>
      <c r="L211" s="1"/>
    </row>
    <row r="212" spans="1:13" s="50" customFormat="1" ht="17.25">
      <c r="A212" s="47"/>
      <c r="B212" s="45"/>
      <c r="C212" s="45"/>
      <c r="D212" s="45"/>
      <c r="E212" s="45"/>
      <c r="F212" s="45"/>
      <c r="G212" s="45"/>
      <c r="H212" s="44"/>
      <c r="I212" s="44"/>
      <c r="J212" s="44"/>
      <c r="K212" s="44"/>
      <c r="L212" s="44"/>
    </row>
    <row r="213" spans="1:13" s="48" customFormat="1" ht="17.25">
      <c r="A213" s="25"/>
      <c r="B213" s="42"/>
      <c r="C213" s="42"/>
      <c r="D213" s="42"/>
      <c r="E213" s="42"/>
      <c r="F213" s="42"/>
      <c r="G213" s="42"/>
      <c r="H213" s="2"/>
      <c r="I213" s="2"/>
      <c r="J213" s="2"/>
      <c r="K213" s="2"/>
      <c r="L213" s="2"/>
    </row>
    <row r="214" spans="1:13" s="48" customFormat="1" ht="17.25">
      <c r="A214" s="25"/>
      <c r="B214" s="42"/>
      <c r="C214" s="42"/>
      <c r="D214" s="42"/>
      <c r="E214" s="42"/>
      <c r="F214" s="42"/>
      <c r="G214" s="42"/>
      <c r="H214" s="2"/>
      <c r="I214" s="2"/>
      <c r="J214" s="2"/>
      <c r="K214" s="2"/>
      <c r="L214" s="2"/>
    </row>
    <row r="215" spans="1:13" s="48" customFormat="1" ht="17.25">
      <c r="A215" s="25"/>
      <c r="B215" s="42"/>
      <c r="C215" s="42"/>
      <c r="D215" s="42"/>
      <c r="E215" s="42"/>
      <c r="F215" s="42"/>
      <c r="G215" s="42"/>
      <c r="H215" s="2"/>
      <c r="I215" s="2"/>
      <c r="J215" s="2"/>
      <c r="K215" s="2"/>
      <c r="L215" s="2"/>
    </row>
    <row r="216" spans="1:13" s="34" customFormat="1" ht="17.25">
      <c r="A216" s="199"/>
      <c r="B216" s="199" t="s">
        <v>3</v>
      </c>
      <c r="C216" s="199"/>
      <c r="D216" s="199"/>
      <c r="E216" s="199" t="s">
        <v>4</v>
      </c>
      <c r="F216" s="199"/>
      <c r="G216" s="199"/>
      <c r="H216" s="33"/>
      <c r="I216" s="33"/>
      <c r="J216" s="33"/>
      <c r="K216" s="33"/>
      <c r="L216" s="33"/>
      <c r="M216" s="33"/>
    </row>
    <row r="217" spans="1:13" s="34" customFormat="1" ht="17.25">
      <c r="A217" s="199"/>
      <c r="B217" s="159" t="s">
        <v>5</v>
      </c>
      <c r="C217" s="159" t="s">
        <v>6</v>
      </c>
      <c r="D217" s="159" t="s">
        <v>7</v>
      </c>
      <c r="E217" s="159" t="s">
        <v>9</v>
      </c>
      <c r="F217" s="159" t="s">
        <v>8</v>
      </c>
      <c r="G217" s="159" t="s">
        <v>417</v>
      </c>
      <c r="H217" s="33"/>
      <c r="I217" s="33"/>
      <c r="J217" s="33"/>
      <c r="K217" s="33"/>
      <c r="L217" s="33"/>
      <c r="M217" s="33"/>
    </row>
    <row r="218" spans="1:13" ht="17.25">
      <c r="A218" s="29" t="s">
        <v>69</v>
      </c>
      <c r="B218" s="18"/>
      <c r="C218" s="18"/>
      <c r="D218" s="18"/>
      <c r="E218" s="18"/>
      <c r="F218" s="18"/>
      <c r="G218" s="18"/>
      <c r="H218" s="1"/>
      <c r="I218" s="1"/>
      <c r="J218" s="1"/>
      <c r="K218" s="1"/>
      <c r="L218" s="1"/>
    </row>
    <row r="219" spans="1:13" ht="17.25">
      <c r="A219" s="30" t="s">
        <v>115</v>
      </c>
      <c r="B219" s="17"/>
      <c r="C219" s="17"/>
      <c r="D219" s="17"/>
      <c r="E219" s="17"/>
      <c r="F219" s="17"/>
      <c r="G219" s="17"/>
      <c r="H219" s="1"/>
      <c r="I219" s="1"/>
      <c r="J219" s="1"/>
      <c r="K219" s="1"/>
      <c r="L219" s="1"/>
    </row>
    <row r="220" spans="1:13" ht="17.25">
      <c r="A220" s="22" t="s">
        <v>116</v>
      </c>
      <c r="B220" s="19"/>
      <c r="C220" s="19"/>
      <c r="D220" s="19"/>
      <c r="E220" s="19"/>
      <c r="F220" s="19"/>
      <c r="G220" s="19"/>
      <c r="H220" s="1"/>
      <c r="I220" s="1"/>
      <c r="J220" s="1"/>
      <c r="K220" s="1"/>
      <c r="L220" s="1"/>
    </row>
    <row r="221" spans="1:13" ht="17.25">
      <c r="A221" s="23" t="s">
        <v>117</v>
      </c>
      <c r="B221" s="66">
        <v>0</v>
      </c>
      <c r="C221" s="66">
        <v>0</v>
      </c>
      <c r="D221" s="66">
        <v>0</v>
      </c>
      <c r="E221" s="66">
        <v>1500</v>
      </c>
      <c r="F221" s="74">
        <v>1</v>
      </c>
      <c r="G221" s="66">
        <v>3400</v>
      </c>
      <c r="H221" s="1"/>
      <c r="I221" s="1"/>
      <c r="J221" s="1"/>
      <c r="K221" s="1"/>
      <c r="L221" s="1"/>
    </row>
    <row r="222" spans="1:13" ht="17.25">
      <c r="A222" s="22" t="s">
        <v>118</v>
      </c>
      <c r="B222" s="83">
        <v>0</v>
      </c>
      <c r="C222" s="83">
        <v>0</v>
      </c>
      <c r="D222" s="83">
        <v>0</v>
      </c>
      <c r="E222" s="83">
        <v>32000</v>
      </c>
      <c r="F222" s="96">
        <v>-1</v>
      </c>
      <c r="G222" s="83">
        <v>0</v>
      </c>
    </row>
    <row r="223" spans="1:13" ht="17.25">
      <c r="A223" s="22" t="s">
        <v>457</v>
      </c>
      <c r="B223" s="83">
        <v>0</v>
      </c>
      <c r="C223" s="83">
        <v>0</v>
      </c>
      <c r="D223" s="83">
        <v>0</v>
      </c>
      <c r="E223" s="83">
        <v>0</v>
      </c>
      <c r="F223" s="116">
        <v>1</v>
      </c>
      <c r="G223" s="83">
        <v>8000</v>
      </c>
    </row>
    <row r="224" spans="1:13" ht="17.25">
      <c r="A224" s="22" t="s">
        <v>458</v>
      </c>
      <c r="B224" s="83">
        <v>0</v>
      </c>
      <c r="C224" s="83">
        <v>0</v>
      </c>
      <c r="D224" s="83">
        <v>0</v>
      </c>
      <c r="E224" s="83">
        <v>0</v>
      </c>
      <c r="F224" s="116">
        <v>1</v>
      </c>
      <c r="G224" s="83">
        <v>36000</v>
      </c>
    </row>
    <row r="225" spans="1:13" ht="17.25">
      <c r="A225" s="24" t="s">
        <v>119</v>
      </c>
      <c r="B225" s="65"/>
      <c r="C225" s="65"/>
      <c r="D225" s="65"/>
      <c r="E225" s="65"/>
      <c r="F225" s="68"/>
      <c r="G225" s="65"/>
    </row>
    <row r="226" spans="1:13" ht="17.25">
      <c r="A226" s="22" t="s">
        <v>120</v>
      </c>
      <c r="B226" s="66">
        <v>0</v>
      </c>
      <c r="C226" s="66">
        <v>0</v>
      </c>
      <c r="D226" s="66">
        <v>0</v>
      </c>
      <c r="E226" s="66">
        <v>29000</v>
      </c>
      <c r="F226" s="74">
        <v>-1</v>
      </c>
      <c r="G226" s="66">
        <v>0</v>
      </c>
    </row>
    <row r="227" spans="1:13" ht="17.25">
      <c r="A227" s="22" t="s">
        <v>121</v>
      </c>
      <c r="B227" s="58">
        <v>0</v>
      </c>
      <c r="C227" s="58">
        <v>0</v>
      </c>
      <c r="D227" s="58">
        <v>0</v>
      </c>
      <c r="E227" s="58">
        <v>3300</v>
      </c>
      <c r="F227" s="74">
        <v>-1</v>
      </c>
      <c r="G227" s="58">
        <v>0</v>
      </c>
    </row>
    <row r="228" spans="1:13" ht="17.25">
      <c r="A228" s="22" t="s">
        <v>122</v>
      </c>
      <c r="B228" s="56">
        <v>0</v>
      </c>
      <c r="C228" s="56">
        <v>0</v>
      </c>
      <c r="D228" s="56">
        <v>0</v>
      </c>
      <c r="E228" s="56">
        <v>4300</v>
      </c>
      <c r="F228" s="59">
        <v>-1</v>
      </c>
      <c r="G228" s="56">
        <v>0</v>
      </c>
    </row>
    <row r="229" spans="1:13" s="7" customFormat="1" ht="17.25">
      <c r="A229" s="22" t="s">
        <v>123</v>
      </c>
      <c r="B229" s="65">
        <v>0</v>
      </c>
      <c r="C229" s="65">
        <v>0</v>
      </c>
      <c r="D229" s="65">
        <v>0</v>
      </c>
      <c r="E229" s="65">
        <v>3200</v>
      </c>
      <c r="F229" s="59">
        <v>-1</v>
      </c>
      <c r="G229" s="65">
        <v>0</v>
      </c>
      <c r="H229" s="1"/>
      <c r="I229" s="1"/>
      <c r="J229" s="1"/>
      <c r="K229" s="1"/>
      <c r="L229" s="1"/>
      <c r="M229" s="1"/>
    </row>
    <row r="230" spans="1:13" s="7" customFormat="1" ht="17.25">
      <c r="A230" s="22" t="s">
        <v>124</v>
      </c>
      <c r="B230" s="65">
        <v>0</v>
      </c>
      <c r="C230" s="65">
        <v>0</v>
      </c>
      <c r="D230" s="65">
        <v>0</v>
      </c>
      <c r="E230" s="65">
        <v>0</v>
      </c>
      <c r="F230" s="75"/>
      <c r="G230" s="65">
        <v>0</v>
      </c>
      <c r="H230" s="1"/>
      <c r="I230" s="1"/>
      <c r="J230" s="1"/>
      <c r="K230" s="1"/>
      <c r="L230" s="1"/>
      <c r="M230" s="1"/>
    </row>
    <row r="231" spans="1:13" s="7" customFormat="1" ht="17.25">
      <c r="A231" s="24" t="s">
        <v>125</v>
      </c>
      <c r="B231" s="66">
        <v>0</v>
      </c>
      <c r="C231" s="66">
        <v>0</v>
      </c>
      <c r="D231" s="66">
        <v>0</v>
      </c>
      <c r="E231" s="66">
        <v>0</v>
      </c>
      <c r="F231" s="74"/>
      <c r="G231" s="66">
        <v>0</v>
      </c>
      <c r="H231" s="1"/>
      <c r="I231" s="1"/>
      <c r="J231" s="1"/>
      <c r="K231" s="1"/>
      <c r="L231" s="1"/>
      <c r="M231" s="1"/>
    </row>
    <row r="232" spans="1:13" s="7" customFormat="1" ht="17.25">
      <c r="A232" s="27" t="s">
        <v>126</v>
      </c>
      <c r="B232" s="65">
        <v>0</v>
      </c>
      <c r="C232" s="65">
        <v>0</v>
      </c>
      <c r="D232" s="65">
        <v>0</v>
      </c>
      <c r="E232" s="65">
        <v>0</v>
      </c>
      <c r="F232" s="59"/>
      <c r="G232" s="65">
        <v>0</v>
      </c>
      <c r="H232" s="1"/>
      <c r="I232" s="1"/>
      <c r="J232" s="1"/>
      <c r="K232" s="1"/>
      <c r="L232" s="1"/>
      <c r="M232" s="1"/>
    </row>
    <row r="233" spans="1:13" s="7" customFormat="1" ht="17.25">
      <c r="A233" s="22" t="s">
        <v>127</v>
      </c>
      <c r="B233" s="66">
        <v>573156.69999999995</v>
      </c>
      <c r="C233" s="66">
        <v>0</v>
      </c>
      <c r="D233" s="66">
        <v>0</v>
      </c>
      <c r="E233" s="66">
        <v>30000</v>
      </c>
      <c r="F233" s="105" t="s">
        <v>459</v>
      </c>
      <c r="G233" s="66">
        <v>50000</v>
      </c>
      <c r="H233" s="1"/>
      <c r="I233" s="1"/>
      <c r="J233" s="1"/>
      <c r="K233" s="1"/>
      <c r="L233" s="1"/>
      <c r="M233" s="1"/>
    </row>
    <row r="234" spans="1:13" s="7" customFormat="1" ht="17.25">
      <c r="A234" s="15" t="s">
        <v>82</v>
      </c>
      <c r="B234" s="93">
        <v>573156.69999999995</v>
      </c>
      <c r="C234" s="93">
        <v>0</v>
      </c>
      <c r="D234" s="93">
        <v>0</v>
      </c>
      <c r="E234" s="93">
        <f>SUM(E221:E233)</f>
        <v>103300</v>
      </c>
      <c r="F234" s="73"/>
      <c r="G234" s="93">
        <f>SUM(G221:G233)</f>
        <v>97400</v>
      </c>
      <c r="H234" s="1"/>
      <c r="I234" s="1"/>
      <c r="J234" s="1"/>
      <c r="K234" s="1"/>
      <c r="L234" s="1"/>
      <c r="M234" s="1"/>
    </row>
    <row r="235" spans="1:13" s="7" customFormat="1" ht="17.25">
      <c r="A235" s="28" t="s">
        <v>88</v>
      </c>
      <c r="B235" s="93">
        <v>573156.69999999995</v>
      </c>
      <c r="C235" s="93">
        <v>0</v>
      </c>
      <c r="D235" s="93">
        <v>0</v>
      </c>
      <c r="E235" s="93">
        <v>103300</v>
      </c>
      <c r="F235" s="73"/>
      <c r="G235" s="93">
        <v>97400</v>
      </c>
      <c r="H235" s="1"/>
      <c r="I235" s="1"/>
      <c r="J235" s="1"/>
      <c r="K235" s="1"/>
      <c r="L235" s="1"/>
      <c r="M235" s="1"/>
    </row>
    <row r="236" spans="1:13" s="7" customFormat="1" ht="17.25">
      <c r="A236" s="16" t="s">
        <v>128</v>
      </c>
      <c r="B236" s="92">
        <f>B178+B211+B235</f>
        <v>3006915.91</v>
      </c>
      <c r="C236" s="92">
        <f>C178+C211+C235</f>
        <v>2574599.27</v>
      </c>
      <c r="D236" s="92">
        <f>D178+D211+D235</f>
        <v>2353201.66</v>
      </c>
      <c r="E236" s="92">
        <f>E178+E211+E235</f>
        <v>2539925</v>
      </c>
      <c r="F236" s="88"/>
      <c r="G236" s="92">
        <f>G178+G211+G235</f>
        <v>2741260</v>
      </c>
      <c r="H236" s="1"/>
      <c r="I236" s="1"/>
      <c r="J236" s="1"/>
      <c r="K236" s="1"/>
      <c r="L236" s="1"/>
      <c r="M236" s="1"/>
    </row>
    <row r="237" spans="1:13" s="7" customFormat="1" ht="17.25">
      <c r="A237" s="16" t="s">
        <v>129</v>
      </c>
      <c r="B237" s="72">
        <f>B149+B236+B168</f>
        <v>13846409.430000002</v>
      </c>
      <c r="C237" s="60">
        <f>C149+C236+C168</f>
        <v>12703149.91</v>
      </c>
      <c r="D237" s="60">
        <f>D149+D236+D168</f>
        <v>13875539.18</v>
      </c>
      <c r="E237" s="71">
        <f>E149+E236+E168</f>
        <v>13480513</v>
      </c>
      <c r="F237" s="73"/>
      <c r="G237" s="71">
        <f>G149+G236+G168</f>
        <v>12754010</v>
      </c>
      <c r="H237" s="1"/>
      <c r="I237" s="1"/>
      <c r="J237" s="1"/>
      <c r="K237" s="1"/>
      <c r="L237" s="1"/>
      <c r="M237" s="1"/>
    </row>
    <row r="238" spans="1:13" s="7" customFormat="1" ht="17.25">
      <c r="A238" s="11" t="s">
        <v>130</v>
      </c>
      <c r="B238" s="83"/>
      <c r="C238" s="83"/>
      <c r="D238" s="83"/>
      <c r="E238" s="83"/>
      <c r="F238" s="76"/>
      <c r="G238" s="83"/>
      <c r="H238" s="1"/>
      <c r="I238" s="1"/>
      <c r="J238" s="1"/>
      <c r="K238" s="1"/>
      <c r="L238" s="1"/>
      <c r="M238" s="1"/>
    </row>
    <row r="239" spans="1:13" s="7" customFormat="1" ht="17.25">
      <c r="A239" s="35" t="s">
        <v>143</v>
      </c>
      <c r="B239" s="65"/>
      <c r="C239" s="65"/>
      <c r="D239" s="65"/>
      <c r="E239" s="65"/>
      <c r="F239" s="68"/>
      <c r="G239" s="65"/>
      <c r="H239" s="1"/>
      <c r="I239" s="1"/>
      <c r="J239" s="1"/>
      <c r="K239" s="1"/>
      <c r="L239" s="1"/>
      <c r="M239" s="1"/>
    </row>
    <row r="240" spans="1:13" s="7" customFormat="1" ht="17.25">
      <c r="A240" s="22" t="s">
        <v>460</v>
      </c>
      <c r="B240" s="66"/>
      <c r="C240" s="66"/>
      <c r="D240" s="66"/>
      <c r="E240" s="66"/>
      <c r="F240" s="114"/>
      <c r="G240" s="66"/>
      <c r="H240" s="1"/>
      <c r="I240" s="1"/>
      <c r="J240" s="1"/>
      <c r="K240" s="1"/>
      <c r="L240" s="1"/>
      <c r="M240" s="1"/>
    </row>
    <row r="241" spans="1:13" s="7" customFormat="1" ht="17.25">
      <c r="A241" s="22" t="s">
        <v>461</v>
      </c>
      <c r="B241" s="66"/>
      <c r="C241" s="66"/>
      <c r="D241" s="66"/>
      <c r="E241" s="66"/>
      <c r="F241" s="114"/>
      <c r="G241" s="66"/>
      <c r="H241" s="1"/>
      <c r="I241" s="1"/>
      <c r="J241" s="1"/>
      <c r="K241" s="1"/>
      <c r="L241" s="1"/>
      <c r="M241" s="1"/>
    </row>
    <row r="242" spans="1:13" s="7" customFormat="1" ht="17.25">
      <c r="A242" s="22" t="s">
        <v>25</v>
      </c>
      <c r="B242" s="66">
        <v>156780</v>
      </c>
      <c r="C242" s="66">
        <v>0</v>
      </c>
      <c r="D242" s="66">
        <v>0</v>
      </c>
      <c r="E242" s="66">
        <v>0</v>
      </c>
      <c r="F242" s="122">
        <v>1</v>
      </c>
      <c r="G242" s="66">
        <v>249240</v>
      </c>
      <c r="H242" s="1"/>
      <c r="I242" s="1"/>
      <c r="J242" s="1"/>
      <c r="K242" s="1"/>
      <c r="L242" s="1"/>
      <c r="M242" s="1"/>
    </row>
    <row r="243" spans="1:13" s="7" customFormat="1" ht="17.25">
      <c r="A243" s="22" t="s">
        <v>462</v>
      </c>
      <c r="B243" s="66">
        <v>0</v>
      </c>
      <c r="C243" s="66">
        <v>0</v>
      </c>
      <c r="D243" s="66">
        <v>0</v>
      </c>
      <c r="E243" s="66">
        <v>0</v>
      </c>
      <c r="F243" s="122">
        <v>1</v>
      </c>
      <c r="G243" s="66">
        <v>108000</v>
      </c>
      <c r="H243" s="1"/>
      <c r="I243" s="1"/>
      <c r="J243" s="1"/>
      <c r="K243" s="1"/>
      <c r="L243" s="1"/>
      <c r="M243" s="1"/>
    </row>
    <row r="244" spans="1:13" s="7" customFormat="1" ht="17.25">
      <c r="A244" s="49"/>
      <c r="B244" s="86"/>
      <c r="C244" s="86"/>
      <c r="D244" s="86"/>
      <c r="E244" s="86"/>
      <c r="F244" s="133"/>
      <c r="G244" s="86"/>
      <c r="H244" s="1"/>
      <c r="I244" s="1"/>
      <c r="J244" s="1"/>
      <c r="K244" s="1"/>
      <c r="L244" s="1"/>
      <c r="M244" s="1"/>
    </row>
    <row r="245" spans="1:13" s="7" customFormat="1" ht="17.25">
      <c r="A245" s="40"/>
      <c r="B245" s="87"/>
      <c r="C245" s="87"/>
      <c r="D245" s="87"/>
      <c r="E245" s="87"/>
      <c r="F245" s="132"/>
      <c r="G245" s="87"/>
      <c r="H245" s="1"/>
      <c r="I245" s="1"/>
      <c r="J245" s="1"/>
      <c r="K245" s="1"/>
      <c r="L245" s="1"/>
      <c r="M245" s="1"/>
    </row>
    <row r="246" spans="1:13" s="7" customFormat="1" ht="17.25">
      <c r="A246" s="40"/>
      <c r="B246" s="87"/>
      <c r="C246" s="87"/>
      <c r="D246" s="87"/>
      <c r="E246" s="87"/>
      <c r="F246" s="132"/>
      <c r="G246" s="87"/>
      <c r="H246" s="1"/>
      <c r="I246" s="1"/>
      <c r="J246" s="1"/>
      <c r="K246" s="1"/>
      <c r="L246" s="1"/>
      <c r="M246" s="1"/>
    </row>
    <row r="247" spans="1:13" s="34" customFormat="1" ht="17.25">
      <c r="A247" s="199"/>
      <c r="B247" s="199" t="s">
        <v>3</v>
      </c>
      <c r="C247" s="199"/>
      <c r="D247" s="199"/>
      <c r="E247" s="199" t="s">
        <v>4</v>
      </c>
      <c r="F247" s="199"/>
      <c r="G247" s="199"/>
      <c r="H247" s="33"/>
      <c r="I247" s="33"/>
      <c r="J247" s="33"/>
      <c r="K247" s="33"/>
      <c r="L247" s="33"/>
      <c r="M247" s="33"/>
    </row>
    <row r="248" spans="1:13" s="34" customFormat="1" ht="17.25">
      <c r="A248" s="199"/>
      <c r="B248" s="159" t="s">
        <v>5</v>
      </c>
      <c r="C248" s="159" t="s">
        <v>6</v>
      </c>
      <c r="D248" s="159" t="s">
        <v>7</v>
      </c>
      <c r="E248" s="159" t="s">
        <v>9</v>
      </c>
      <c r="F248" s="159" t="s">
        <v>8</v>
      </c>
      <c r="G248" s="159" t="s">
        <v>417</v>
      </c>
      <c r="H248" s="33"/>
      <c r="I248" s="33"/>
      <c r="J248" s="33"/>
      <c r="K248" s="33"/>
      <c r="L248" s="33"/>
      <c r="M248" s="33"/>
    </row>
    <row r="249" spans="1:13" s="7" customFormat="1" ht="17.25">
      <c r="A249" s="27" t="s">
        <v>32</v>
      </c>
      <c r="B249" s="67">
        <v>0</v>
      </c>
      <c r="C249" s="67">
        <v>0</v>
      </c>
      <c r="D249" s="67">
        <v>0</v>
      </c>
      <c r="E249" s="67">
        <v>0</v>
      </c>
      <c r="F249" s="121">
        <v>1</v>
      </c>
      <c r="G249" s="67">
        <v>12000</v>
      </c>
      <c r="H249" s="1"/>
      <c r="I249" s="1"/>
      <c r="J249" s="1"/>
      <c r="K249" s="1"/>
      <c r="L249" s="1"/>
      <c r="M249" s="1"/>
    </row>
    <row r="250" spans="1:13" s="7" customFormat="1" ht="17.25">
      <c r="A250" s="32" t="s">
        <v>107</v>
      </c>
      <c r="B250" s="93">
        <f>B242</f>
        <v>156780</v>
      </c>
      <c r="C250" s="93">
        <v>0</v>
      </c>
      <c r="D250" s="93">
        <v>0</v>
      </c>
      <c r="E250" s="93">
        <v>0</v>
      </c>
      <c r="F250" s="134"/>
      <c r="G250" s="93">
        <v>369240</v>
      </c>
      <c r="H250" s="1"/>
      <c r="I250" s="1"/>
      <c r="J250" s="1"/>
      <c r="K250" s="1"/>
      <c r="L250" s="1"/>
      <c r="M250" s="1"/>
    </row>
    <row r="251" spans="1:13" s="7" customFormat="1" ht="17.25">
      <c r="A251" s="16" t="s">
        <v>108</v>
      </c>
      <c r="B251" s="92">
        <f>B250</f>
        <v>156780</v>
      </c>
      <c r="C251" s="92">
        <v>0</v>
      </c>
      <c r="D251" s="92">
        <v>0</v>
      </c>
      <c r="E251" s="92">
        <v>0</v>
      </c>
      <c r="F251" s="135"/>
      <c r="G251" s="92">
        <v>369240</v>
      </c>
      <c r="H251" s="1"/>
      <c r="I251" s="1"/>
      <c r="J251" s="1"/>
      <c r="K251" s="1"/>
      <c r="L251" s="1"/>
      <c r="M251" s="1"/>
    </row>
    <row r="252" spans="1:13" s="7" customFormat="1" ht="17.25">
      <c r="A252" s="22" t="s">
        <v>131</v>
      </c>
      <c r="B252" s="66"/>
      <c r="C252" s="66"/>
      <c r="D252" s="66"/>
      <c r="E252" s="66"/>
      <c r="F252" s="69"/>
      <c r="G252" s="66"/>
      <c r="H252" s="1"/>
      <c r="I252" s="1"/>
      <c r="J252" s="1"/>
      <c r="K252" s="1"/>
      <c r="L252" s="1"/>
      <c r="M252" s="1"/>
    </row>
    <row r="253" spans="1:13" s="7" customFormat="1" ht="17.25">
      <c r="A253" s="24" t="s">
        <v>132</v>
      </c>
      <c r="B253" s="66"/>
      <c r="C253" s="66"/>
      <c r="D253" s="66"/>
      <c r="E253" s="66"/>
      <c r="F253" s="69"/>
      <c r="G253" s="66"/>
      <c r="H253" s="1"/>
      <c r="I253" s="1"/>
      <c r="J253" s="1"/>
      <c r="K253" s="1"/>
      <c r="L253" s="1"/>
    </row>
    <row r="254" spans="1:13" s="7" customFormat="1" ht="17.25">
      <c r="A254" s="22" t="s">
        <v>463</v>
      </c>
      <c r="B254" s="66">
        <v>0</v>
      </c>
      <c r="C254" s="66">
        <v>0</v>
      </c>
      <c r="D254" s="66">
        <v>0</v>
      </c>
      <c r="E254" s="66">
        <v>0</v>
      </c>
      <c r="F254" s="122">
        <v>1</v>
      </c>
      <c r="G254" s="66">
        <v>15000</v>
      </c>
      <c r="H254" s="1"/>
      <c r="I254" s="1"/>
      <c r="J254" s="1"/>
      <c r="K254" s="1"/>
      <c r="L254" s="1"/>
    </row>
    <row r="255" spans="1:13" s="7" customFormat="1" ht="17.25">
      <c r="A255" s="22" t="s">
        <v>464</v>
      </c>
      <c r="B255" s="66"/>
      <c r="C255" s="66"/>
      <c r="D255" s="66"/>
      <c r="E255" s="66"/>
      <c r="F255" s="130"/>
      <c r="G255" s="66"/>
      <c r="H255" s="1"/>
      <c r="I255" s="1"/>
      <c r="J255" s="1"/>
      <c r="K255" s="1"/>
      <c r="L255" s="1"/>
    </row>
    <row r="256" spans="1:13" s="7" customFormat="1" ht="17.25">
      <c r="A256" s="22" t="s">
        <v>109</v>
      </c>
      <c r="B256" s="56">
        <v>0</v>
      </c>
      <c r="C256" s="56">
        <v>0</v>
      </c>
      <c r="D256" s="56">
        <v>6120</v>
      </c>
      <c r="E256" s="56">
        <v>15000</v>
      </c>
      <c r="F256" s="119" t="s">
        <v>342</v>
      </c>
      <c r="G256" s="56">
        <v>5000</v>
      </c>
      <c r="H256" s="1"/>
      <c r="I256" s="1"/>
      <c r="J256" s="1"/>
      <c r="K256" s="1"/>
      <c r="L256" s="1"/>
    </row>
    <row r="257" spans="1:12" s="7" customFormat="1" ht="17.25">
      <c r="A257" s="32" t="s">
        <v>40</v>
      </c>
      <c r="B257" s="100">
        <v>0</v>
      </c>
      <c r="C257" s="100">
        <v>0</v>
      </c>
      <c r="D257" s="100">
        <f>D253+D254+D255+D256</f>
        <v>6120</v>
      </c>
      <c r="E257" s="100">
        <v>15000</v>
      </c>
      <c r="F257" s="101"/>
      <c r="G257" s="100">
        <f>G254+G255+G256</f>
        <v>20000</v>
      </c>
      <c r="H257" s="1"/>
      <c r="I257" s="1"/>
      <c r="J257" s="1"/>
      <c r="K257" s="1"/>
      <c r="L257" s="1"/>
    </row>
    <row r="258" spans="1:12" s="7" customFormat="1" ht="17.25">
      <c r="A258" s="52" t="s">
        <v>41</v>
      </c>
      <c r="B258" s="19"/>
      <c r="C258" s="19"/>
      <c r="D258" s="19"/>
      <c r="E258" s="19"/>
      <c r="F258" s="19"/>
      <c r="G258" s="19"/>
      <c r="H258" s="1"/>
      <c r="I258" s="1"/>
      <c r="J258" s="1"/>
      <c r="K258" s="1"/>
      <c r="L258" s="1"/>
    </row>
    <row r="259" spans="1:12" s="7" customFormat="1" ht="17.25">
      <c r="A259" s="27" t="s">
        <v>42</v>
      </c>
      <c r="B259" s="83">
        <v>0</v>
      </c>
      <c r="C259" s="83">
        <v>0</v>
      </c>
      <c r="D259" s="83">
        <v>0</v>
      </c>
      <c r="E259" s="83">
        <v>0</v>
      </c>
      <c r="F259" s="136">
        <v>1</v>
      </c>
      <c r="G259" s="83">
        <v>98000</v>
      </c>
      <c r="H259" s="1"/>
      <c r="I259" s="1"/>
      <c r="J259" s="1"/>
      <c r="K259" s="1"/>
      <c r="L259" s="1"/>
    </row>
    <row r="260" spans="1:12" s="7" customFormat="1" ht="17.25">
      <c r="A260" s="27" t="s">
        <v>44</v>
      </c>
      <c r="B260" s="224"/>
      <c r="C260" s="224"/>
      <c r="D260" s="224"/>
      <c r="E260" s="224"/>
      <c r="F260" s="224"/>
      <c r="G260" s="224"/>
      <c r="H260" s="1"/>
      <c r="I260" s="1"/>
      <c r="J260" s="1"/>
      <c r="K260" s="1"/>
      <c r="L260" s="1"/>
    </row>
    <row r="261" spans="1:12" s="7" customFormat="1" ht="17.25">
      <c r="A261" s="26" t="s">
        <v>308</v>
      </c>
      <c r="B261" s="209"/>
      <c r="C261" s="209"/>
      <c r="D261" s="209"/>
      <c r="E261" s="209"/>
      <c r="F261" s="209"/>
      <c r="G261" s="209"/>
      <c r="H261" s="1"/>
      <c r="I261" s="1"/>
      <c r="J261" s="1"/>
      <c r="K261" s="1"/>
      <c r="L261" s="1"/>
    </row>
    <row r="262" spans="1:12" s="7" customFormat="1" ht="17.25">
      <c r="A262" s="4" t="s">
        <v>309</v>
      </c>
      <c r="B262" s="200">
        <v>0</v>
      </c>
      <c r="C262" s="200">
        <v>5000</v>
      </c>
      <c r="D262" s="200">
        <v>0</v>
      </c>
      <c r="E262" s="200">
        <v>0</v>
      </c>
      <c r="F262" s="207" t="s">
        <v>318</v>
      </c>
      <c r="G262" s="200">
        <v>0</v>
      </c>
      <c r="H262" s="1"/>
      <c r="I262" s="1"/>
      <c r="J262" s="1"/>
      <c r="K262" s="1"/>
      <c r="L262" s="1"/>
    </row>
    <row r="263" spans="1:12" s="7" customFormat="1" ht="17.25">
      <c r="A263" s="6" t="s">
        <v>310</v>
      </c>
      <c r="B263" s="202"/>
      <c r="C263" s="202"/>
      <c r="D263" s="202"/>
      <c r="E263" s="202"/>
      <c r="F263" s="202"/>
      <c r="G263" s="202"/>
      <c r="H263" s="1"/>
      <c r="I263" s="1"/>
      <c r="J263" s="1"/>
      <c r="K263" s="1"/>
      <c r="L263" s="1"/>
    </row>
    <row r="264" spans="1:12" ht="17.25">
      <c r="A264" s="26" t="s">
        <v>133</v>
      </c>
      <c r="B264" s="83">
        <v>0</v>
      </c>
      <c r="C264" s="83">
        <v>69000</v>
      </c>
      <c r="D264" s="83">
        <f>17675+20357+9050</f>
        <v>47082</v>
      </c>
      <c r="E264" s="83">
        <v>0</v>
      </c>
      <c r="F264" s="128">
        <v>1</v>
      </c>
      <c r="G264" s="83">
        <v>20000</v>
      </c>
      <c r="H264" s="1"/>
      <c r="I264" s="1"/>
      <c r="J264" s="1"/>
      <c r="K264" s="1"/>
      <c r="L264" s="1"/>
    </row>
    <row r="265" spans="1:12" ht="17.25">
      <c r="A265" s="27" t="s">
        <v>134</v>
      </c>
      <c r="B265" s="65">
        <v>31727</v>
      </c>
      <c r="C265" s="65">
        <v>6656</v>
      </c>
      <c r="D265" s="65">
        <v>6378</v>
      </c>
      <c r="E265" s="65">
        <v>0</v>
      </c>
      <c r="F265" s="119">
        <v>1</v>
      </c>
      <c r="G265" s="65">
        <v>45000</v>
      </c>
      <c r="H265" s="1"/>
      <c r="I265" s="1"/>
      <c r="J265" s="1"/>
      <c r="K265" s="1"/>
      <c r="L265" s="1"/>
    </row>
    <row r="266" spans="1:12" ht="17.25">
      <c r="A266" s="27" t="s">
        <v>311</v>
      </c>
      <c r="B266" s="200">
        <v>0</v>
      </c>
      <c r="C266" s="200">
        <v>25560</v>
      </c>
      <c r="D266" s="200">
        <v>22439</v>
      </c>
      <c r="E266" s="200">
        <v>0</v>
      </c>
      <c r="F266" s="211">
        <v>1</v>
      </c>
      <c r="G266" s="200">
        <v>45000</v>
      </c>
      <c r="H266" s="1"/>
      <c r="I266" s="1"/>
      <c r="J266" s="1"/>
      <c r="K266" s="1"/>
      <c r="L266" s="1"/>
    </row>
    <row r="267" spans="1:12" ht="17.25">
      <c r="A267" s="24" t="s">
        <v>312</v>
      </c>
      <c r="B267" s="202"/>
      <c r="C267" s="202"/>
      <c r="D267" s="202"/>
      <c r="E267" s="202"/>
      <c r="F267" s="202"/>
      <c r="G267" s="202"/>
      <c r="H267" s="1"/>
      <c r="I267" s="1"/>
      <c r="J267" s="1"/>
      <c r="K267" s="1"/>
      <c r="L267" s="1"/>
    </row>
    <row r="268" spans="1:12" ht="17.25">
      <c r="A268" s="26" t="s">
        <v>134</v>
      </c>
      <c r="B268" s="65">
        <v>0</v>
      </c>
      <c r="C268" s="65">
        <v>0</v>
      </c>
      <c r="D268" s="65">
        <v>0</v>
      </c>
      <c r="E268" s="65">
        <v>50000</v>
      </c>
      <c r="F268" s="59">
        <v>1</v>
      </c>
      <c r="G268" s="65">
        <v>0</v>
      </c>
      <c r="H268" s="1"/>
      <c r="I268" s="1"/>
      <c r="J268" s="1"/>
      <c r="K268" s="1"/>
      <c r="L268" s="1"/>
    </row>
    <row r="269" spans="1:12" ht="17.25">
      <c r="A269" s="27" t="s">
        <v>313</v>
      </c>
      <c r="B269" s="200">
        <v>0</v>
      </c>
      <c r="C269" s="200">
        <v>60000</v>
      </c>
      <c r="D269" s="200">
        <v>0</v>
      </c>
      <c r="E269" s="200">
        <v>50000</v>
      </c>
      <c r="F269" s="203">
        <v>-1</v>
      </c>
      <c r="G269" s="200">
        <v>0</v>
      </c>
      <c r="H269" s="1"/>
      <c r="I269" s="1"/>
      <c r="J269" s="1"/>
      <c r="K269" s="1"/>
      <c r="L269" s="1"/>
    </row>
    <row r="270" spans="1:12" ht="17.25">
      <c r="A270" s="26" t="s">
        <v>314</v>
      </c>
      <c r="B270" s="202"/>
      <c r="C270" s="202"/>
      <c r="D270" s="202"/>
      <c r="E270" s="202"/>
      <c r="F270" s="202"/>
      <c r="G270" s="202"/>
      <c r="H270" s="1"/>
      <c r="I270" s="1"/>
      <c r="J270" s="1"/>
      <c r="K270" s="1"/>
      <c r="L270" s="1"/>
    </row>
    <row r="271" spans="1:12" ht="17.25">
      <c r="A271" s="27" t="s">
        <v>415</v>
      </c>
      <c r="B271" s="200">
        <v>0</v>
      </c>
      <c r="C271" s="200">
        <v>0</v>
      </c>
      <c r="D271" s="200">
        <v>0</v>
      </c>
      <c r="E271" s="200">
        <v>65000</v>
      </c>
      <c r="F271" s="203">
        <v>-1</v>
      </c>
      <c r="G271" s="200">
        <v>0</v>
      </c>
    </row>
    <row r="272" spans="1:12" ht="17.25">
      <c r="A272" s="24" t="s">
        <v>315</v>
      </c>
      <c r="B272" s="202"/>
      <c r="C272" s="202"/>
      <c r="D272" s="202"/>
      <c r="E272" s="202"/>
      <c r="F272" s="202"/>
      <c r="G272" s="202"/>
    </row>
    <row r="273" spans="1:13" ht="17.25">
      <c r="A273" s="24" t="s">
        <v>135</v>
      </c>
      <c r="B273" s="65">
        <v>0</v>
      </c>
      <c r="C273" s="65">
        <v>0</v>
      </c>
      <c r="D273" s="65">
        <v>0</v>
      </c>
      <c r="E273" s="65">
        <v>10000</v>
      </c>
      <c r="F273" s="59">
        <v>-1</v>
      </c>
      <c r="G273" s="65">
        <v>0</v>
      </c>
    </row>
    <row r="274" spans="1:13" ht="17.25">
      <c r="A274" s="32" t="s">
        <v>50</v>
      </c>
      <c r="B274" s="102">
        <f>SUM(B262:B273)</f>
        <v>31727</v>
      </c>
      <c r="C274" s="102">
        <f>SUM(C262:C273)</f>
        <v>166216</v>
      </c>
      <c r="D274" s="102">
        <f>SUM(D262:D273)</f>
        <v>75899</v>
      </c>
      <c r="E274" s="102">
        <f>SUM(E268:E273)</f>
        <v>175000</v>
      </c>
      <c r="F274" s="101"/>
      <c r="G274" s="102">
        <f>SUM(G259:G273)</f>
        <v>208000</v>
      </c>
    </row>
    <row r="275" spans="1:13" ht="17.25">
      <c r="A275" s="47"/>
      <c r="B275" s="125"/>
      <c r="C275" s="125"/>
      <c r="D275" s="125"/>
      <c r="E275" s="125"/>
      <c r="F275" s="126"/>
      <c r="G275" s="125"/>
    </row>
    <row r="276" spans="1:13" ht="17.25">
      <c r="A276" s="25"/>
      <c r="B276" s="123"/>
      <c r="C276" s="123"/>
      <c r="D276" s="123"/>
      <c r="E276" s="123"/>
      <c r="F276" s="124"/>
      <c r="G276" s="123"/>
    </row>
    <row r="277" spans="1:13" ht="17.25">
      <c r="A277" s="25"/>
      <c r="B277" s="123"/>
      <c r="C277" s="123"/>
      <c r="D277" s="123"/>
      <c r="E277" s="123"/>
      <c r="F277" s="124"/>
      <c r="G277" s="123"/>
    </row>
    <row r="278" spans="1:13" s="34" customFormat="1" ht="17.25">
      <c r="A278" s="199"/>
      <c r="B278" s="199" t="s">
        <v>3</v>
      </c>
      <c r="C278" s="199"/>
      <c r="D278" s="199"/>
      <c r="E278" s="199" t="s">
        <v>4</v>
      </c>
      <c r="F278" s="199"/>
      <c r="G278" s="199"/>
      <c r="H278" s="33"/>
      <c r="I278" s="33"/>
      <c r="J278" s="33"/>
      <c r="K278" s="33"/>
      <c r="L278" s="33"/>
      <c r="M278" s="33"/>
    </row>
    <row r="279" spans="1:13" s="34" customFormat="1" ht="17.25">
      <c r="A279" s="199"/>
      <c r="B279" s="159" t="s">
        <v>5</v>
      </c>
      <c r="C279" s="159" t="s">
        <v>6</v>
      </c>
      <c r="D279" s="159" t="s">
        <v>7</v>
      </c>
      <c r="E279" s="159" t="s">
        <v>9</v>
      </c>
      <c r="F279" s="159" t="s">
        <v>8</v>
      </c>
      <c r="G279" s="159" t="s">
        <v>417</v>
      </c>
      <c r="H279" s="33"/>
      <c r="I279" s="33"/>
      <c r="J279" s="33"/>
      <c r="K279" s="33"/>
      <c r="L279" s="33"/>
      <c r="M279" s="33"/>
    </row>
    <row r="280" spans="1:13" ht="17.25">
      <c r="A280" s="21" t="s">
        <v>51</v>
      </c>
      <c r="B280" s="58"/>
      <c r="C280" s="58"/>
      <c r="D280" s="58"/>
      <c r="E280" s="58"/>
      <c r="F280" s="69"/>
      <c r="G280" s="58"/>
    </row>
    <row r="281" spans="1:13" ht="17.25">
      <c r="A281" s="22" t="s">
        <v>56</v>
      </c>
      <c r="B281" s="56">
        <v>0</v>
      </c>
      <c r="C281" s="56">
        <v>0</v>
      </c>
      <c r="D281" s="56">
        <v>0</v>
      </c>
      <c r="E281" s="56">
        <v>30000</v>
      </c>
      <c r="F281" s="59">
        <v>0</v>
      </c>
      <c r="G281" s="56">
        <v>30000</v>
      </c>
    </row>
    <row r="282" spans="1:13" s="7" customFormat="1" ht="17.25">
      <c r="A282" s="22" t="s">
        <v>57</v>
      </c>
      <c r="B282" s="65">
        <v>132700</v>
      </c>
      <c r="C282" s="65">
        <v>64000</v>
      </c>
      <c r="D282" s="65">
        <v>73611.5</v>
      </c>
      <c r="E282" s="65">
        <v>70000</v>
      </c>
      <c r="F282" s="59">
        <v>0</v>
      </c>
      <c r="G282" s="65">
        <v>70000</v>
      </c>
      <c r="H282" s="1"/>
      <c r="I282" s="1"/>
      <c r="J282" s="1"/>
      <c r="K282" s="1"/>
      <c r="L282" s="1"/>
      <c r="M282" s="1"/>
    </row>
    <row r="283" spans="1:13" s="7" customFormat="1" ht="17.25">
      <c r="A283" s="16" t="s">
        <v>60</v>
      </c>
      <c r="B283" s="93">
        <f>SUM(B281:B282)</f>
        <v>132700</v>
      </c>
      <c r="C283" s="93">
        <f>SUM(C281:C282)</f>
        <v>64000</v>
      </c>
      <c r="D283" s="93">
        <f>SUM(D281:D282)</f>
        <v>73611.5</v>
      </c>
      <c r="E283" s="93">
        <f>SUM(E281:E282)</f>
        <v>100000</v>
      </c>
      <c r="F283" s="73"/>
      <c r="G283" s="93">
        <f>SUM(G281:G282)</f>
        <v>100000</v>
      </c>
      <c r="H283" s="1"/>
      <c r="I283" s="1"/>
      <c r="J283" s="1"/>
      <c r="K283" s="1"/>
      <c r="L283" s="1"/>
      <c r="M283" s="1"/>
    </row>
    <row r="284" spans="1:13" s="7" customFormat="1" ht="17.25">
      <c r="A284" s="15" t="s">
        <v>68</v>
      </c>
      <c r="B284" s="92">
        <f>B257+B274+B283</f>
        <v>164427</v>
      </c>
      <c r="C284" s="92">
        <f>C257+C274+C283</f>
        <v>230216</v>
      </c>
      <c r="D284" s="92">
        <f>D257+D274+D283</f>
        <v>155630.5</v>
      </c>
      <c r="E284" s="92">
        <f>E257+E274+E283</f>
        <v>290000</v>
      </c>
      <c r="F284" s="88"/>
      <c r="G284" s="92">
        <f>G257+G274+G283</f>
        <v>328000</v>
      </c>
      <c r="H284" s="1"/>
      <c r="I284" s="1"/>
      <c r="J284" s="1"/>
      <c r="K284" s="1"/>
      <c r="L284" s="1"/>
      <c r="M284" s="1"/>
    </row>
    <row r="285" spans="1:13" s="7" customFormat="1" ht="17.25">
      <c r="A285" s="30" t="s">
        <v>69</v>
      </c>
      <c r="B285" s="65"/>
      <c r="C285" s="65"/>
      <c r="D285" s="65"/>
      <c r="E285" s="65"/>
      <c r="F285" s="68"/>
      <c r="G285" s="65"/>
      <c r="H285" s="1"/>
      <c r="I285" s="1"/>
      <c r="J285" s="1"/>
      <c r="K285" s="1"/>
      <c r="L285" s="1"/>
      <c r="M285" s="1"/>
    </row>
    <row r="286" spans="1:13" s="7" customFormat="1" ht="17.25">
      <c r="A286" s="21" t="s">
        <v>70</v>
      </c>
      <c r="B286" s="66"/>
      <c r="C286" s="66"/>
      <c r="D286" s="66"/>
      <c r="E286" s="66"/>
      <c r="F286" s="69"/>
      <c r="G286" s="66"/>
      <c r="H286" s="1"/>
      <c r="I286" s="1"/>
      <c r="J286" s="1"/>
      <c r="K286" s="1"/>
      <c r="L286" s="1"/>
      <c r="M286" s="1"/>
    </row>
    <row r="287" spans="1:13" s="7" customFormat="1" ht="17.25">
      <c r="A287" s="22" t="s">
        <v>137</v>
      </c>
      <c r="B287" s="66"/>
      <c r="C287" s="66"/>
      <c r="D287" s="66"/>
      <c r="E287" s="66"/>
      <c r="F287" s="122"/>
      <c r="G287" s="66"/>
      <c r="H287" s="1"/>
      <c r="I287" s="1"/>
      <c r="J287" s="1"/>
      <c r="K287" s="1"/>
      <c r="L287" s="1"/>
      <c r="M287" s="1"/>
    </row>
    <row r="288" spans="1:13" s="7" customFormat="1" ht="17.25">
      <c r="A288" s="8" t="s">
        <v>467</v>
      </c>
      <c r="B288" s="65">
        <v>0</v>
      </c>
      <c r="C288" s="65">
        <v>0</v>
      </c>
      <c r="D288" s="65">
        <v>22980</v>
      </c>
      <c r="E288" s="65">
        <v>0</v>
      </c>
      <c r="F288" s="75" t="s">
        <v>318</v>
      </c>
      <c r="G288" s="65">
        <v>0</v>
      </c>
      <c r="H288" s="1"/>
      <c r="I288" s="1"/>
      <c r="J288" s="1"/>
      <c r="K288" s="1"/>
      <c r="L288" s="1"/>
      <c r="M288" s="1"/>
    </row>
    <row r="289" spans="1:13" s="7" customFormat="1" ht="17.25">
      <c r="A289" s="137" t="s">
        <v>465</v>
      </c>
      <c r="B289" s="66">
        <v>0</v>
      </c>
      <c r="C289" s="66">
        <v>0</v>
      </c>
      <c r="D289" s="66">
        <v>0</v>
      </c>
      <c r="E289" s="66">
        <v>0</v>
      </c>
      <c r="F289" s="122">
        <v>1</v>
      </c>
      <c r="G289" s="66">
        <v>85000</v>
      </c>
      <c r="H289" s="1"/>
      <c r="I289" s="1"/>
      <c r="J289" s="1"/>
      <c r="K289" s="1"/>
      <c r="L289" s="1"/>
      <c r="M289" s="1"/>
    </row>
    <row r="290" spans="1:13" s="7" customFormat="1" ht="17.25">
      <c r="A290" s="26" t="s">
        <v>136</v>
      </c>
      <c r="B290" s="65"/>
      <c r="C290" s="65"/>
      <c r="D290" s="65"/>
      <c r="E290" s="65"/>
      <c r="F290" s="68"/>
      <c r="G290" s="65"/>
      <c r="H290" s="1"/>
      <c r="I290" s="1"/>
      <c r="J290" s="1"/>
      <c r="K290" s="1"/>
      <c r="L290" s="1"/>
      <c r="M290" s="1"/>
    </row>
    <row r="291" spans="1:13" s="7" customFormat="1" ht="17.25">
      <c r="A291" s="51" t="s">
        <v>316</v>
      </c>
      <c r="B291" s="200">
        <v>0</v>
      </c>
      <c r="C291" s="200">
        <v>0</v>
      </c>
      <c r="D291" s="200">
        <v>0</v>
      </c>
      <c r="E291" s="200">
        <v>0</v>
      </c>
      <c r="F291" s="207"/>
      <c r="G291" s="200">
        <v>0</v>
      </c>
      <c r="H291" s="1"/>
      <c r="I291" s="1"/>
      <c r="J291" s="1"/>
      <c r="K291" s="1"/>
      <c r="L291" s="1"/>
      <c r="M291" s="1"/>
    </row>
    <row r="292" spans="1:13" s="7" customFormat="1" ht="17.25">
      <c r="A292" s="18" t="s">
        <v>317</v>
      </c>
      <c r="B292" s="202"/>
      <c r="C292" s="202"/>
      <c r="D292" s="202"/>
      <c r="E292" s="202"/>
      <c r="F292" s="202"/>
      <c r="G292" s="202"/>
      <c r="H292" s="1"/>
      <c r="I292" s="1"/>
      <c r="J292" s="1"/>
      <c r="K292" s="1"/>
      <c r="L292" s="1"/>
      <c r="M292" s="1"/>
    </row>
    <row r="293" spans="1:13" s="7" customFormat="1" ht="17.25">
      <c r="A293" s="22" t="s">
        <v>179</v>
      </c>
      <c r="B293" s="66"/>
      <c r="C293" s="66"/>
      <c r="D293" s="66"/>
      <c r="E293" s="66"/>
      <c r="F293" s="114"/>
      <c r="G293" s="66"/>
      <c r="H293" s="1"/>
      <c r="I293" s="1"/>
      <c r="J293" s="1"/>
      <c r="K293" s="1"/>
      <c r="L293" s="1"/>
      <c r="M293" s="1"/>
    </row>
    <row r="294" spans="1:13" s="7" customFormat="1" ht="17.25">
      <c r="A294" s="137" t="s">
        <v>466</v>
      </c>
      <c r="B294" s="66">
        <v>0</v>
      </c>
      <c r="C294" s="66">
        <v>0</v>
      </c>
      <c r="D294" s="66">
        <v>0</v>
      </c>
      <c r="E294" s="66">
        <v>0</v>
      </c>
      <c r="F294" s="122">
        <v>1</v>
      </c>
      <c r="G294" s="66">
        <v>20000</v>
      </c>
      <c r="H294" s="1"/>
      <c r="I294" s="1"/>
      <c r="J294" s="1"/>
      <c r="K294" s="1"/>
      <c r="L294" s="1"/>
      <c r="M294" s="1"/>
    </row>
    <row r="295" spans="1:13" s="7" customFormat="1" ht="17.25">
      <c r="A295" s="18" t="s">
        <v>138</v>
      </c>
      <c r="B295" s="65">
        <v>0</v>
      </c>
      <c r="C295" s="65">
        <v>0</v>
      </c>
      <c r="D295" s="65">
        <v>0</v>
      </c>
      <c r="E295" s="65">
        <v>0</v>
      </c>
      <c r="F295" s="75"/>
      <c r="G295" s="65">
        <v>0</v>
      </c>
      <c r="H295" s="1"/>
      <c r="I295" s="1"/>
      <c r="J295" s="1"/>
      <c r="K295" s="1"/>
      <c r="L295" s="1"/>
      <c r="M295" s="1"/>
    </row>
    <row r="296" spans="1:13" s="7" customFormat="1" ht="17.25">
      <c r="A296" s="22" t="s">
        <v>127</v>
      </c>
      <c r="B296" s="66">
        <v>0</v>
      </c>
      <c r="C296" s="66">
        <v>43000</v>
      </c>
      <c r="D296" s="66">
        <v>0</v>
      </c>
      <c r="E296" s="66">
        <v>70000</v>
      </c>
      <c r="F296" s="105" t="s">
        <v>468</v>
      </c>
      <c r="G296" s="66">
        <v>100000</v>
      </c>
      <c r="H296" s="1"/>
      <c r="I296" s="1"/>
      <c r="J296" s="1"/>
      <c r="K296" s="1"/>
      <c r="L296" s="1"/>
      <c r="M296" s="1"/>
    </row>
    <row r="297" spans="1:13" s="7" customFormat="1" ht="17.25">
      <c r="A297" s="15" t="s">
        <v>82</v>
      </c>
      <c r="B297" s="92">
        <v>0</v>
      </c>
      <c r="C297" s="92">
        <v>43000</v>
      </c>
      <c r="D297" s="92">
        <f>D291+D292+D295+D296</f>
        <v>0</v>
      </c>
      <c r="E297" s="92">
        <v>70000</v>
      </c>
      <c r="F297" s="88"/>
      <c r="G297" s="92">
        <f>G289+G294+G296</f>
        <v>205000</v>
      </c>
      <c r="H297" s="1"/>
      <c r="I297" s="1"/>
      <c r="J297" s="1"/>
      <c r="K297" s="1"/>
      <c r="L297" s="1"/>
    </row>
    <row r="298" spans="1:13" s="7" customFormat="1" ht="17.25">
      <c r="A298" s="16" t="s">
        <v>88</v>
      </c>
      <c r="B298" s="60">
        <f>SUM(B295:B297)</f>
        <v>0</v>
      </c>
      <c r="C298" s="60">
        <f>SUM(C295:C297)</f>
        <v>86000</v>
      </c>
      <c r="D298" s="60">
        <f>22980</f>
        <v>22980</v>
      </c>
      <c r="E298" s="60">
        <v>70000</v>
      </c>
      <c r="F298" s="73"/>
      <c r="G298" s="60">
        <f>G297</f>
        <v>205000</v>
      </c>
      <c r="H298" s="1"/>
      <c r="I298" s="1"/>
      <c r="J298" s="1"/>
      <c r="K298" s="1"/>
      <c r="L298" s="1"/>
    </row>
    <row r="299" spans="1:13" s="7" customFormat="1" ht="17.25">
      <c r="A299" s="16" t="s">
        <v>139</v>
      </c>
      <c r="B299" s="100">
        <f>B257+B274+B283+B297</f>
        <v>164427</v>
      </c>
      <c r="C299" s="100">
        <f>C257+C274+C283+C297+C296</f>
        <v>316216</v>
      </c>
      <c r="D299" s="100">
        <f>D251+D284+D298</f>
        <v>178610.5</v>
      </c>
      <c r="E299" s="100">
        <f>E257+E274+E283+E297</f>
        <v>360000</v>
      </c>
      <c r="F299" s="101"/>
      <c r="G299" s="100">
        <f>G251+G257+G274+G283+G297</f>
        <v>902240</v>
      </c>
      <c r="H299" s="1"/>
      <c r="I299" s="1"/>
      <c r="J299" s="1"/>
      <c r="K299" s="1"/>
      <c r="L299" s="1"/>
    </row>
    <row r="300" spans="1:13" s="7" customFormat="1" ht="17.25">
      <c r="A300" s="16" t="s">
        <v>140</v>
      </c>
      <c r="B300" s="93">
        <f>B299+B251</f>
        <v>321207</v>
      </c>
      <c r="C300" s="93">
        <v>273216</v>
      </c>
      <c r="D300" s="93">
        <f>D299</f>
        <v>178610.5</v>
      </c>
      <c r="E300" s="93">
        <v>360000</v>
      </c>
      <c r="F300" s="73"/>
      <c r="G300" s="93">
        <f>G299</f>
        <v>902240</v>
      </c>
      <c r="H300" s="1"/>
      <c r="I300" s="1"/>
      <c r="J300" s="1"/>
      <c r="K300" s="1"/>
      <c r="L300" s="1"/>
    </row>
    <row r="301" spans="1:13" s="7" customFormat="1" ht="17.25">
      <c r="A301" s="23" t="s">
        <v>141</v>
      </c>
      <c r="B301" s="66"/>
      <c r="C301" s="66"/>
      <c r="D301" s="66"/>
      <c r="E301" s="66"/>
      <c r="F301" s="69"/>
      <c r="G301" s="66"/>
      <c r="H301" s="1"/>
      <c r="I301" s="1"/>
      <c r="J301" s="1"/>
      <c r="K301" s="1"/>
      <c r="L301" s="1"/>
    </row>
    <row r="302" spans="1:13" s="7" customFormat="1" ht="17.25">
      <c r="A302" s="11" t="s">
        <v>142</v>
      </c>
      <c r="B302" s="65"/>
      <c r="C302" s="65"/>
      <c r="D302" s="65"/>
      <c r="E302" s="65"/>
      <c r="F302" s="68"/>
      <c r="G302" s="65"/>
      <c r="H302" s="1"/>
      <c r="I302" s="1"/>
      <c r="J302" s="1"/>
      <c r="K302" s="1"/>
      <c r="L302" s="1"/>
    </row>
    <row r="303" spans="1:13" s="7" customFormat="1" ht="17.25">
      <c r="A303" s="12" t="s">
        <v>105</v>
      </c>
      <c r="B303" s="66"/>
      <c r="C303" s="66"/>
      <c r="D303" s="66"/>
      <c r="E303" s="66"/>
      <c r="F303" s="69"/>
      <c r="G303" s="66"/>
      <c r="H303" s="1"/>
      <c r="I303" s="1"/>
      <c r="J303" s="1"/>
      <c r="K303" s="1"/>
      <c r="L303" s="1"/>
    </row>
    <row r="304" spans="1:13" ht="17.25">
      <c r="A304" s="30" t="s">
        <v>24</v>
      </c>
      <c r="B304" s="83"/>
      <c r="C304" s="83"/>
      <c r="D304" s="83"/>
      <c r="E304" s="83"/>
      <c r="F304" s="76"/>
      <c r="G304" s="83"/>
      <c r="H304" s="1"/>
      <c r="I304" s="1"/>
      <c r="J304" s="1"/>
      <c r="K304" s="1"/>
      <c r="L304" s="1"/>
    </row>
    <row r="305" spans="1:13" ht="17.25">
      <c r="A305" s="22" t="s">
        <v>25</v>
      </c>
      <c r="B305" s="65">
        <v>602077.9</v>
      </c>
      <c r="C305" s="65">
        <v>722334.67</v>
      </c>
      <c r="D305" s="65">
        <v>819840</v>
      </c>
      <c r="E305" s="65">
        <v>863640</v>
      </c>
      <c r="F305" s="62">
        <v>7.22E-2</v>
      </c>
      <c r="G305" s="65">
        <v>926000</v>
      </c>
      <c r="H305" s="1"/>
      <c r="I305" s="1"/>
      <c r="J305" s="1"/>
      <c r="K305" s="1"/>
      <c r="L305" s="1"/>
    </row>
    <row r="306" spans="1:13" ht="17.25">
      <c r="A306" s="26" t="s">
        <v>26</v>
      </c>
      <c r="B306" s="66">
        <v>0</v>
      </c>
      <c r="C306" s="66">
        <v>35233.33</v>
      </c>
      <c r="D306" s="66">
        <v>42000</v>
      </c>
      <c r="E306" s="66">
        <v>42000</v>
      </c>
      <c r="F306" s="74">
        <v>0</v>
      </c>
      <c r="G306" s="66">
        <v>42000</v>
      </c>
      <c r="H306" s="1"/>
      <c r="I306" s="1"/>
      <c r="J306" s="1"/>
      <c r="K306" s="1"/>
      <c r="L306" s="1"/>
    </row>
    <row r="307" spans="1:13" ht="17.25">
      <c r="A307" s="27" t="s">
        <v>28</v>
      </c>
      <c r="B307" s="83">
        <v>216000</v>
      </c>
      <c r="C307" s="83">
        <v>181200</v>
      </c>
      <c r="D307" s="83">
        <v>135000</v>
      </c>
      <c r="E307" s="83">
        <v>108000</v>
      </c>
      <c r="F307" s="96">
        <v>0</v>
      </c>
      <c r="G307" s="83">
        <v>108000</v>
      </c>
      <c r="H307" s="1"/>
      <c r="I307" s="1"/>
      <c r="J307" s="1"/>
      <c r="K307" s="1"/>
      <c r="L307" s="1"/>
    </row>
    <row r="308" spans="1:13" ht="17.25">
      <c r="A308" s="49"/>
      <c r="B308" s="86"/>
      <c r="C308" s="86"/>
      <c r="D308" s="86"/>
      <c r="E308" s="86"/>
      <c r="F308" s="133"/>
      <c r="G308" s="86"/>
      <c r="H308" s="1"/>
      <c r="I308" s="1"/>
      <c r="J308" s="1"/>
      <c r="K308" s="1"/>
      <c r="L308" s="1"/>
    </row>
    <row r="309" spans="1:13" s="34" customFormat="1" ht="17.25">
      <c r="A309" s="199"/>
      <c r="B309" s="199" t="s">
        <v>3</v>
      </c>
      <c r="C309" s="199"/>
      <c r="D309" s="199"/>
      <c r="E309" s="199" t="s">
        <v>4</v>
      </c>
      <c r="F309" s="199"/>
      <c r="G309" s="199"/>
      <c r="H309" s="33"/>
      <c r="I309" s="33"/>
      <c r="J309" s="33"/>
      <c r="K309" s="33"/>
      <c r="L309" s="33"/>
      <c r="M309" s="33"/>
    </row>
    <row r="310" spans="1:13" s="34" customFormat="1" ht="17.25">
      <c r="A310" s="199"/>
      <c r="B310" s="159" t="s">
        <v>5</v>
      </c>
      <c r="C310" s="159" t="s">
        <v>6</v>
      </c>
      <c r="D310" s="159" t="s">
        <v>7</v>
      </c>
      <c r="E310" s="159" t="s">
        <v>9</v>
      </c>
      <c r="F310" s="159" t="s">
        <v>8</v>
      </c>
      <c r="G310" s="159" t="s">
        <v>417</v>
      </c>
      <c r="H310" s="33"/>
      <c r="I310" s="33"/>
      <c r="J310" s="33"/>
      <c r="K310" s="33"/>
      <c r="L310" s="33"/>
      <c r="M310" s="33"/>
    </row>
    <row r="311" spans="1:13" ht="17.25">
      <c r="A311" s="22" t="s">
        <v>106</v>
      </c>
      <c r="B311" s="65">
        <v>0</v>
      </c>
      <c r="C311" s="65">
        <v>20133.330000000002</v>
      </c>
      <c r="D311" s="65">
        <v>15000</v>
      </c>
      <c r="E311" s="65">
        <v>12000</v>
      </c>
      <c r="F311" s="59">
        <v>0</v>
      </c>
      <c r="G311" s="65">
        <v>12000</v>
      </c>
      <c r="H311" s="1"/>
      <c r="I311" s="1"/>
      <c r="J311" s="1"/>
      <c r="K311" s="1"/>
      <c r="L311" s="1"/>
    </row>
    <row r="312" spans="1:13" ht="17.25">
      <c r="A312" s="15" t="s">
        <v>107</v>
      </c>
      <c r="B312" s="92">
        <f>SUM(B305:B311)</f>
        <v>818077.9</v>
      </c>
      <c r="C312" s="92">
        <f>SUM(C305:C311)</f>
        <v>958901.33</v>
      </c>
      <c r="D312" s="92">
        <f>SUM(D305:D311)</f>
        <v>1011840</v>
      </c>
      <c r="E312" s="92">
        <f>SUM(E305:E311)</f>
        <v>1025640</v>
      </c>
      <c r="F312" s="88"/>
      <c r="G312" s="92">
        <f>SUM(G305:G311)</f>
        <v>1088000</v>
      </c>
      <c r="H312" s="1"/>
      <c r="I312" s="1"/>
      <c r="J312" s="1"/>
      <c r="K312" s="1"/>
      <c r="L312" s="1"/>
    </row>
    <row r="313" spans="1:13" ht="17.25">
      <c r="A313" s="16" t="s">
        <v>108</v>
      </c>
      <c r="B313" s="97">
        <v>818077.9</v>
      </c>
      <c r="C313" s="97">
        <v>958901.33</v>
      </c>
      <c r="D313" s="97">
        <f>D312</f>
        <v>1011840</v>
      </c>
      <c r="E313" s="97">
        <v>1025640</v>
      </c>
      <c r="F313" s="98"/>
      <c r="G313" s="97">
        <f>G312</f>
        <v>1088000</v>
      </c>
    </row>
    <row r="314" spans="1:13" ht="17.25">
      <c r="A314" s="23" t="s">
        <v>33</v>
      </c>
      <c r="B314" s="65"/>
      <c r="C314" s="65"/>
      <c r="D314" s="65"/>
      <c r="E314" s="65"/>
      <c r="F314" s="68"/>
      <c r="G314" s="65"/>
    </row>
    <row r="315" spans="1:13" ht="17.25">
      <c r="A315" s="30" t="s">
        <v>34</v>
      </c>
      <c r="B315" s="66"/>
      <c r="C315" s="66"/>
      <c r="D315" s="66"/>
      <c r="E315" s="66"/>
      <c r="F315" s="69"/>
      <c r="G315" s="66"/>
    </row>
    <row r="316" spans="1:13" ht="17.25">
      <c r="A316" s="30" t="s">
        <v>324</v>
      </c>
      <c r="B316" s="200">
        <v>811914</v>
      </c>
      <c r="C316" s="200">
        <v>320082.95</v>
      </c>
      <c r="D316" s="200">
        <v>327935</v>
      </c>
      <c r="E316" s="200">
        <v>115500</v>
      </c>
      <c r="F316" s="207" t="s">
        <v>469</v>
      </c>
      <c r="G316" s="200">
        <v>43450</v>
      </c>
    </row>
    <row r="317" spans="1:13" ht="17.25">
      <c r="A317" s="24" t="s">
        <v>302</v>
      </c>
      <c r="B317" s="202"/>
      <c r="C317" s="202"/>
      <c r="D317" s="202"/>
      <c r="E317" s="202"/>
      <c r="F317" s="202"/>
      <c r="G317" s="202"/>
    </row>
    <row r="318" spans="1:13" s="7" customFormat="1" ht="17.25">
      <c r="A318" s="24" t="s">
        <v>109</v>
      </c>
      <c r="B318" s="65">
        <v>10000</v>
      </c>
      <c r="C318" s="65">
        <v>0</v>
      </c>
      <c r="D318" s="65">
        <v>0</v>
      </c>
      <c r="E318" s="65">
        <v>10000</v>
      </c>
      <c r="F318" s="59">
        <v>-0.8</v>
      </c>
      <c r="G318" s="65">
        <v>2000</v>
      </c>
      <c r="H318" s="1"/>
      <c r="I318" s="1"/>
      <c r="J318" s="1"/>
      <c r="K318" s="1"/>
      <c r="L318" s="1"/>
      <c r="M318" s="1"/>
    </row>
    <row r="319" spans="1:13" s="7" customFormat="1" ht="17.25">
      <c r="A319" s="22" t="s">
        <v>110</v>
      </c>
      <c r="B319" s="65">
        <v>0</v>
      </c>
      <c r="C319" s="65">
        <v>0</v>
      </c>
      <c r="D319" s="65">
        <v>0</v>
      </c>
      <c r="E319" s="65">
        <v>5000</v>
      </c>
      <c r="F319" s="59">
        <v>1</v>
      </c>
      <c r="G319" s="65">
        <v>10000</v>
      </c>
      <c r="H319" s="1"/>
      <c r="I319" s="1"/>
      <c r="J319" s="1"/>
      <c r="K319" s="1"/>
      <c r="L319" s="1"/>
      <c r="M319" s="1"/>
    </row>
    <row r="320" spans="1:13" s="7" customFormat="1" ht="17.25">
      <c r="A320" s="37" t="s">
        <v>40</v>
      </c>
      <c r="B320" s="102">
        <f>SUM(B316:B319)</f>
        <v>821914</v>
      </c>
      <c r="C320" s="102">
        <f>SUM(C316:C319)</f>
        <v>320082.95</v>
      </c>
      <c r="D320" s="102">
        <f>SUM(D316:D319)</f>
        <v>327935</v>
      </c>
      <c r="E320" s="102">
        <f>SUM(E316:E319)</f>
        <v>130500</v>
      </c>
      <c r="F320" s="101"/>
      <c r="G320" s="102">
        <f>SUM(G316:G319)</f>
        <v>55450</v>
      </c>
      <c r="H320" s="1"/>
      <c r="I320" s="1"/>
      <c r="J320" s="1"/>
      <c r="K320" s="1"/>
      <c r="L320" s="1"/>
      <c r="M320" s="1"/>
    </row>
    <row r="321" spans="1:13" s="7" customFormat="1" ht="17.25">
      <c r="A321" s="30" t="s">
        <v>41</v>
      </c>
      <c r="B321" s="19"/>
      <c r="C321" s="19"/>
      <c r="D321" s="19"/>
      <c r="E321" s="19"/>
      <c r="F321" s="19"/>
      <c r="G321" s="19"/>
      <c r="H321" s="1"/>
      <c r="I321" s="1"/>
      <c r="J321" s="1"/>
      <c r="K321" s="1"/>
      <c r="L321" s="1"/>
      <c r="M321" s="1"/>
    </row>
    <row r="322" spans="1:13" s="7" customFormat="1" ht="17.25">
      <c r="A322" s="27" t="s">
        <v>42</v>
      </c>
      <c r="B322" s="66">
        <f>317180.5-31000</f>
        <v>286180.5</v>
      </c>
      <c r="C322" s="66">
        <v>279588</v>
      </c>
      <c r="D322" s="66">
        <v>136603</v>
      </c>
      <c r="E322" s="66">
        <v>10000</v>
      </c>
      <c r="F322" s="130" t="s">
        <v>470</v>
      </c>
      <c r="G322" s="66">
        <v>8000</v>
      </c>
      <c r="H322" s="1"/>
      <c r="I322" s="1"/>
      <c r="J322" s="1"/>
      <c r="K322" s="1"/>
      <c r="L322" s="1"/>
      <c r="M322" s="1"/>
    </row>
    <row r="323" spans="1:13" s="7" customFormat="1" ht="17.25">
      <c r="A323" s="27" t="s">
        <v>44</v>
      </c>
      <c r="B323" s="200"/>
      <c r="C323" s="200"/>
      <c r="D323" s="200"/>
      <c r="E323" s="200"/>
      <c r="F323" s="200"/>
      <c r="G323" s="200"/>
      <c r="H323" s="1"/>
      <c r="I323" s="1"/>
      <c r="J323" s="1"/>
      <c r="K323" s="1"/>
      <c r="L323" s="1"/>
      <c r="M323" s="1"/>
    </row>
    <row r="324" spans="1:13" s="7" customFormat="1" ht="17.25">
      <c r="A324" s="24" t="s">
        <v>308</v>
      </c>
      <c r="B324" s="202"/>
      <c r="C324" s="202"/>
      <c r="D324" s="202"/>
      <c r="E324" s="202"/>
      <c r="F324" s="202"/>
      <c r="G324" s="202"/>
      <c r="H324" s="1"/>
      <c r="I324" s="1"/>
      <c r="J324" s="1"/>
      <c r="K324" s="1"/>
      <c r="L324" s="1"/>
      <c r="M324" s="1"/>
    </row>
    <row r="325" spans="1:13" s="7" customFormat="1" ht="17.25">
      <c r="A325" s="31" t="s">
        <v>144</v>
      </c>
      <c r="B325" s="65">
        <v>18000</v>
      </c>
      <c r="C325" s="65">
        <v>18000</v>
      </c>
      <c r="D325" s="65">
        <v>18000</v>
      </c>
      <c r="E325" s="65">
        <v>0</v>
      </c>
      <c r="F325" s="75"/>
      <c r="G325" s="65">
        <v>0</v>
      </c>
      <c r="H325" s="1"/>
      <c r="I325" s="1"/>
      <c r="J325" s="1"/>
      <c r="K325" s="1"/>
      <c r="L325" s="1"/>
      <c r="M325" s="1"/>
    </row>
    <row r="326" spans="1:13" s="7" customFormat="1" ht="17.25">
      <c r="A326" s="19" t="s">
        <v>46</v>
      </c>
      <c r="B326" s="66">
        <v>11000</v>
      </c>
      <c r="C326" s="66">
        <v>9900</v>
      </c>
      <c r="D326" s="66">
        <f>10+3190</f>
        <v>3200</v>
      </c>
      <c r="E326" s="66">
        <v>40000</v>
      </c>
      <c r="F326" s="74">
        <v>-1</v>
      </c>
      <c r="G326" s="66">
        <v>0</v>
      </c>
      <c r="H326" s="1"/>
      <c r="I326" s="1"/>
      <c r="J326" s="1"/>
      <c r="K326" s="1"/>
      <c r="L326" s="1"/>
      <c r="M326" s="1"/>
    </row>
    <row r="327" spans="1:13" s="7" customFormat="1" ht="17.25">
      <c r="A327" s="22" t="s">
        <v>46</v>
      </c>
      <c r="B327" s="55">
        <v>0</v>
      </c>
      <c r="C327" s="56">
        <v>0</v>
      </c>
      <c r="D327" s="56">
        <v>0</v>
      </c>
      <c r="E327" s="54">
        <v>0</v>
      </c>
      <c r="F327" s="75" t="s">
        <v>320</v>
      </c>
      <c r="G327" s="54">
        <v>25000</v>
      </c>
      <c r="H327" s="1"/>
      <c r="I327" s="1"/>
      <c r="J327" s="1"/>
      <c r="K327" s="1"/>
      <c r="L327" s="1"/>
      <c r="M327" s="1"/>
    </row>
    <row r="328" spans="1:13" s="7" customFormat="1" ht="17.25">
      <c r="A328" s="8" t="s">
        <v>49</v>
      </c>
      <c r="B328" s="83">
        <v>20000</v>
      </c>
      <c r="C328" s="83">
        <v>13500</v>
      </c>
      <c r="D328" s="83">
        <v>14990</v>
      </c>
      <c r="E328" s="83">
        <v>10000</v>
      </c>
      <c r="F328" s="118" t="s">
        <v>471</v>
      </c>
      <c r="G328" s="83">
        <v>25000</v>
      </c>
      <c r="H328" s="1"/>
      <c r="I328" s="1"/>
      <c r="J328" s="1"/>
      <c r="K328" s="1"/>
      <c r="L328" s="1"/>
      <c r="M328" s="1"/>
    </row>
    <row r="329" spans="1:13" s="7" customFormat="1" ht="17.25">
      <c r="A329" s="15" t="s">
        <v>50</v>
      </c>
      <c r="B329" s="93">
        <f>SUM(B322:B328)</f>
        <v>335180.5</v>
      </c>
      <c r="C329" s="93">
        <f>SUM(C322:C328)</f>
        <v>320988</v>
      </c>
      <c r="D329" s="93">
        <f>SUM(D322:D328)</f>
        <v>172793</v>
      </c>
      <c r="E329" s="93">
        <f>SUM(E322:E328)</f>
        <v>60000</v>
      </c>
      <c r="F329" s="73"/>
      <c r="G329" s="93">
        <f>SUM(G322:G328)</f>
        <v>58000</v>
      </c>
      <c r="H329" s="1"/>
      <c r="I329" s="1"/>
      <c r="J329" s="1"/>
      <c r="K329" s="1"/>
      <c r="L329" s="1"/>
      <c r="M329" s="1"/>
    </row>
    <row r="330" spans="1:13" s="7" customFormat="1" ht="17.25">
      <c r="A330" s="21" t="s">
        <v>51</v>
      </c>
      <c r="B330" s="66"/>
      <c r="C330" s="66"/>
      <c r="D330" s="66"/>
      <c r="E330" s="66"/>
      <c r="F330" s="69"/>
      <c r="G330" s="66"/>
      <c r="H330" s="1"/>
      <c r="I330" s="1"/>
      <c r="J330" s="1"/>
      <c r="K330" s="1"/>
      <c r="L330" s="1"/>
      <c r="M330" s="1"/>
    </row>
    <row r="331" spans="1:13" s="7" customFormat="1" ht="17.25">
      <c r="A331" s="24" t="s">
        <v>52</v>
      </c>
      <c r="B331" s="66">
        <v>49000</v>
      </c>
      <c r="C331" s="66">
        <v>83913</v>
      </c>
      <c r="D331" s="66">
        <v>0</v>
      </c>
      <c r="E331" s="66">
        <v>40000</v>
      </c>
      <c r="F331" s="74">
        <v>-0.25</v>
      </c>
      <c r="G331" s="66">
        <v>30000</v>
      </c>
      <c r="H331" s="1"/>
      <c r="I331" s="1"/>
      <c r="J331" s="1"/>
      <c r="K331" s="1"/>
      <c r="L331" s="1"/>
    </row>
    <row r="332" spans="1:13" s="7" customFormat="1" ht="17.25">
      <c r="A332" s="22" t="s">
        <v>58</v>
      </c>
      <c r="B332" s="56">
        <v>25739.9</v>
      </c>
      <c r="C332" s="56">
        <v>0</v>
      </c>
      <c r="D332" s="56">
        <v>2540</v>
      </c>
      <c r="E332" s="56">
        <v>20000</v>
      </c>
      <c r="F332" s="75" t="s">
        <v>322</v>
      </c>
      <c r="G332" s="56">
        <v>20000</v>
      </c>
      <c r="H332" s="1"/>
      <c r="I332" s="1"/>
      <c r="J332" s="1"/>
      <c r="K332" s="1"/>
      <c r="L332" s="1"/>
    </row>
    <row r="333" spans="1:13" s="7" customFormat="1" ht="17.25">
      <c r="A333" s="32" t="s">
        <v>60</v>
      </c>
      <c r="B333" s="100">
        <f>SUM(B331:B332)</f>
        <v>74739.899999999994</v>
      </c>
      <c r="C333" s="100">
        <f>SUM(C331:C332)</f>
        <v>83913</v>
      </c>
      <c r="D333" s="100">
        <f>SUM(D331:D332)</f>
        <v>2540</v>
      </c>
      <c r="E333" s="100">
        <f>SUM(E331:E332)</f>
        <v>60000</v>
      </c>
      <c r="F333" s="101"/>
      <c r="G333" s="100">
        <f>SUM(G331:G332)</f>
        <v>50000</v>
      </c>
      <c r="H333" s="1"/>
      <c r="I333" s="1"/>
      <c r="J333" s="1"/>
      <c r="K333" s="1"/>
      <c r="L333" s="1"/>
    </row>
    <row r="334" spans="1:13" s="7" customFormat="1" ht="17.25">
      <c r="A334" s="47"/>
      <c r="B334" s="139"/>
      <c r="C334" s="139"/>
      <c r="D334" s="139"/>
      <c r="E334" s="139"/>
      <c r="F334" s="126"/>
      <c r="G334" s="139"/>
      <c r="H334" s="1"/>
      <c r="I334" s="1"/>
      <c r="J334" s="1"/>
      <c r="K334" s="1"/>
      <c r="L334" s="1"/>
    </row>
    <row r="335" spans="1:13" s="7" customFormat="1" ht="17.25">
      <c r="A335" s="25"/>
      <c r="B335" s="138"/>
      <c r="C335" s="138"/>
      <c r="D335" s="138"/>
      <c r="E335" s="138"/>
      <c r="F335" s="124"/>
      <c r="G335" s="138"/>
      <c r="H335" s="1"/>
      <c r="I335" s="1"/>
      <c r="J335" s="1"/>
      <c r="K335" s="1"/>
      <c r="L335" s="1"/>
    </row>
    <row r="336" spans="1:13" s="7" customFormat="1" ht="17.25">
      <c r="A336" s="25"/>
      <c r="B336" s="138"/>
      <c r="C336" s="138"/>
      <c r="D336" s="138"/>
      <c r="E336" s="138"/>
      <c r="F336" s="124"/>
      <c r="G336" s="138"/>
      <c r="H336" s="1"/>
      <c r="I336" s="1"/>
      <c r="J336" s="1"/>
      <c r="K336" s="1"/>
      <c r="L336" s="1"/>
    </row>
    <row r="337" spans="1:13" s="7" customFormat="1" ht="17.25">
      <c r="A337" s="25"/>
      <c r="B337" s="138"/>
      <c r="C337" s="138"/>
      <c r="D337" s="138"/>
      <c r="E337" s="138"/>
      <c r="F337" s="124"/>
      <c r="G337" s="138"/>
      <c r="H337" s="1"/>
      <c r="I337" s="1"/>
      <c r="J337" s="1"/>
      <c r="K337" s="1"/>
      <c r="L337" s="1"/>
    </row>
    <row r="338" spans="1:13" s="7" customFormat="1" ht="17.25">
      <c r="A338" s="25"/>
      <c r="B338" s="138"/>
      <c r="C338" s="138"/>
      <c r="D338" s="138"/>
      <c r="E338" s="138"/>
      <c r="F338" s="124"/>
      <c r="G338" s="138"/>
      <c r="H338" s="1"/>
      <c r="I338" s="1"/>
      <c r="J338" s="1"/>
      <c r="K338" s="1"/>
      <c r="L338" s="1"/>
    </row>
    <row r="339" spans="1:13" s="7" customFormat="1" ht="17.25">
      <c r="A339" s="25"/>
      <c r="B339" s="138"/>
      <c r="C339" s="138"/>
      <c r="D339" s="138"/>
      <c r="E339" s="138"/>
      <c r="F339" s="124"/>
      <c r="G339" s="138"/>
      <c r="H339" s="1"/>
      <c r="I339" s="1"/>
      <c r="J339" s="1"/>
      <c r="K339" s="1"/>
      <c r="L339" s="1"/>
    </row>
    <row r="340" spans="1:13" s="34" customFormat="1" ht="17.25">
      <c r="A340" s="199"/>
      <c r="B340" s="199" t="s">
        <v>3</v>
      </c>
      <c r="C340" s="199"/>
      <c r="D340" s="199"/>
      <c r="E340" s="199" t="s">
        <v>4</v>
      </c>
      <c r="F340" s="199"/>
      <c r="G340" s="199"/>
      <c r="H340" s="33"/>
      <c r="I340" s="33"/>
      <c r="J340" s="33"/>
      <c r="K340" s="33"/>
      <c r="L340" s="33"/>
      <c r="M340" s="33"/>
    </row>
    <row r="341" spans="1:13" s="34" customFormat="1" ht="17.25">
      <c r="A341" s="199"/>
      <c r="B341" s="159" t="s">
        <v>5</v>
      </c>
      <c r="C341" s="159" t="s">
        <v>6</v>
      </c>
      <c r="D341" s="159" t="s">
        <v>7</v>
      </c>
      <c r="E341" s="159" t="s">
        <v>9</v>
      </c>
      <c r="F341" s="159" t="s">
        <v>8</v>
      </c>
      <c r="G341" s="159" t="s">
        <v>417</v>
      </c>
      <c r="H341" s="33"/>
      <c r="I341" s="33"/>
      <c r="J341" s="33"/>
      <c r="K341" s="33"/>
      <c r="L341" s="33"/>
      <c r="M341" s="33"/>
    </row>
    <row r="342" spans="1:13" s="7" customFormat="1" ht="17.25">
      <c r="A342" s="21" t="s">
        <v>61</v>
      </c>
      <c r="B342" s="65"/>
      <c r="C342" s="65"/>
      <c r="D342" s="65"/>
      <c r="E342" s="65"/>
      <c r="F342" s="68"/>
      <c r="G342" s="65"/>
      <c r="H342" s="1"/>
      <c r="I342" s="1"/>
      <c r="J342" s="1"/>
      <c r="K342" s="1"/>
      <c r="L342" s="1"/>
    </row>
    <row r="343" spans="1:13" s="7" customFormat="1" ht="17.25">
      <c r="A343" s="24" t="s">
        <v>65</v>
      </c>
      <c r="B343" s="66">
        <v>0</v>
      </c>
      <c r="C343" s="66">
        <v>0</v>
      </c>
      <c r="D343" s="66">
        <v>1000</v>
      </c>
      <c r="E343" s="66">
        <v>1000</v>
      </c>
      <c r="F343" s="74">
        <v>0</v>
      </c>
      <c r="G343" s="66">
        <v>1000</v>
      </c>
      <c r="H343" s="1"/>
      <c r="I343" s="1"/>
      <c r="J343" s="1"/>
      <c r="K343" s="1"/>
      <c r="L343" s="1"/>
    </row>
    <row r="344" spans="1:13" s="7" customFormat="1" ht="17.25">
      <c r="A344" s="8" t="s">
        <v>66</v>
      </c>
      <c r="B344" s="65">
        <v>0</v>
      </c>
      <c r="C344" s="65">
        <v>15400</v>
      </c>
      <c r="D344" s="65">
        <v>13980</v>
      </c>
      <c r="E344" s="65">
        <v>0</v>
      </c>
      <c r="F344" s="75"/>
      <c r="G344" s="65">
        <v>0</v>
      </c>
      <c r="H344" s="1"/>
      <c r="I344" s="1"/>
      <c r="J344" s="1"/>
      <c r="K344" s="1"/>
      <c r="L344" s="1"/>
    </row>
    <row r="345" spans="1:13" s="7" customFormat="1" ht="17.25">
      <c r="A345" s="37" t="s">
        <v>67</v>
      </c>
      <c r="B345" s="92">
        <f>SUM(B343:B344)</f>
        <v>0</v>
      </c>
      <c r="C345" s="92">
        <f>SUM(C343:C344)</f>
        <v>15400</v>
      </c>
      <c r="D345" s="92">
        <f>SUM(D343:D344)</f>
        <v>14980</v>
      </c>
      <c r="E345" s="92">
        <f>SUM(E343:E344)</f>
        <v>1000</v>
      </c>
      <c r="F345" s="88"/>
      <c r="G345" s="92">
        <f>SUM(G343:G344)</f>
        <v>1000</v>
      </c>
      <c r="H345" s="1"/>
      <c r="I345" s="1"/>
      <c r="J345" s="1"/>
      <c r="K345" s="1"/>
      <c r="L345" s="1"/>
    </row>
    <row r="346" spans="1:13" ht="17.25">
      <c r="A346" s="32" t="s">
        <v>68</v>
      </c>
      <c r="B346" s="97">
        <f>B320+B329+B333+B345</f>
        <v>1231834.3999999999</v>
      </c>
      <c r="C346" s="97">
        <f>C320+C329+C333+C345</f>
        <v>740383.95</v>
      </c>
      <c r="D346" s="97">
        <f>D320+D329+D333+D345</f>
        <v>518248</v>
      </c>
      <c r="E346" s="97">
        <f>E320+E329+E333+E345</f>
        <v>251500</v>
      </c>
      <c r="F346" s="98"/>
      <c r="G346" s="97">
        <f>G320+G329+G333+G345</f>
        <v>164450</v>
      </c>
      <c r="H346" s="1"/>
      <c r="I346" s="1"/>
      <c r="J346" s="1"/>
      <c r="K346" s="1"/>
      <c r="L346" s="1"/>
    </row>
    <row r="347" spans="1:13" ht="17.25">
      <c r="A347" s="21" t="s">
        <v>69</v>
      </c>
      <c r="B347" s="65"/>
      <c r="C347" s="65"/>
      <c r="D347" s="65"/>
      <c r="E347" s="65"/>
      <c r="F347" s="68"/>
      <c r="G347" s="65"/>
      <c r="H347" s="1"/>
      <c r="I347" s="1"/>
      <c r="J347" s="1"/>
      <c r="K347" s="1"/>
      <c r="L347" s="1"/>
    </row>
    <row r="348" spans="1:13" ht="17.25">
      <c r="A348" s="29" t="s">
        <v>70</v>
      </c>
      <c r="B348" s="66"/>
      <c r="C348" s="66"/>
      <c r="D348" s="66"/>
      <c r="E348" s="66"/>
      <c r="F348" s="69"/>
      <c r="G348" s="66"/>
      <c r="H348" s="1"/>
      <c r="I348" s="1"/>
      <c r="J348" s="1"/>
      <c r="K348" s="1"/>
      <c r="L348" s="1"/>
    </row>
    <row r="349" spans="1:13" ht="17.25">
      <c r="A349" s="22" t="s">
        <v>116</v>
      </c>
      <c r="B349" s="67"/>
      <c r="C349" s="67"/>
      <c r="D349" s="67"/>
      <c r="E349" s="67"/>
      <c r="F349" s="115"/>
      <c r="G349" s="67"/>
      <c r="H349" s="1"/>
      <c r="I349" s="1"/>
      <c r="J349" s="1"/>
      <c r="K349" s="1"/>
      <c r="L349" s="1"/>
    </row>
    <row r="350" spans="1:13" ht="17.25">
      <c r="A350" s="24" t="s">
        <v>472</v>
      </c>
      <c r="B350" s="83">
        <v>0</v>
      </c>
      <c r="C350" s="83">
        <v>0</v>
      </c>
      <c r="D350" s="83">
        <v>0</v>
      </c>
      <c r="E350" s="83">
        <v>0</v>
      </c>
      <c r="F350" s="116">
        <v>1</v>
      </c>
      <c r="G350" s="83">
        <v>4000</v>
      </c>
      <c r="H350" s="1"/>
      <c r="I350" s="1"/>
      <c r="J350" s="1"/>
      <c r="K350" s="1"/>
      <c r="L350" s="1"/>
    </row>
    <row r="351" spans="1:13" ht="17.25">
      <c r="A351" s="22" t="s">
        <v>473</v>
      </c>
      <c r="B351" s="83">
        <v>0</v>
      </c>
      <c r="C351" s="83">
        <v>0</v>
      </c>
      <c r="D351" s="83">
        <v>0</v>
      </c>
      <c r="E351" s="83">
        <v>0</v>
      </c>
      <c r="F351" s="116">
        <v>1</v>
      </c>
      <c r="G351" s="83">
        <v>4000</v>
      </c>
      <c r="H351" s="1"/>
      <c r="I351" s="1"/>
      <c r="J351" s="1"/>
      <c r="K351" s="1"/>
      <c r="L351" s="1"/>
    </row>
    <row r="352" spans="1:13" ht="17.25">
      <c r="A352" s="22" t="s">
        <v>441</v>
      </c>
      <c r="B352" s="65">
        <v>0</v>
      </c>
      <c r="C352" s="65">
        <v>0</v>
      </c>
      <c r="D352" s="65">
        <v>0</v>
      </c>
      <c r="E352" s="65">
        <v>0</v>
      </c>
      <c r="F352" s="59">
        <v>1</v>
      </c>
      <c r="G352" s="65">
        <v>3400</v>
      </c>
      <c r="H352" s="1"/>
      <c r="I352" s="1"/>
      <c r="J352" s="1"/>
      <c r="K352" s="1"/>
      <c r="L352" s="1"/>
    </row>
    <row r="353" spans="1:13" ht="17.25">
      <c r="A353" s="22" t="s">
        <v>172</v>
      </c>
      <c r="B353" s="83">
        <v>0</v>
      </c>
      <c r="C353" s="83">
        <v>0</v>
      </c>
      <c r="D353" s="83">
        <v>0</v>
      </c>
      <c r="E353" s="83">
        <v>0</v>
      </c>
      <c r="F353" s="116">
        <v>1</v>
      </c>
      <c r="G353" s="83">
        <v>8000</v>
      </c>
      <c r="H353" s="1"/>
      <c r="I353" s="1"/>
      <c r="J353" s="1"/>
      <c r="K353" s="1"/>
      <c r="L353" s="1"/>
    </row>
    <row r="354" spans="1:13" ht="17.25">
      <c r="A354" s="24" t="s">
        <v>119</v>
      </c>
      <c r="B354" s="65"/>
      <c r="C354" s="65"/>
      <c r="D354" s="65"/>
      <c r="E354" s="65"/>
      <c r="F354" s="68"/>
      <c r="G354" s="65"/>
      <c r="H354" s="1"/>
      <c r="I354" s="1"/>
      <c r="J354" s="1"/>
      <c r="K354" s="1"/>
      <c r="L354" s="1"/>
    </row>
    <row r="355" spans="1:13" ht="17.25">
      <c r="A355" s="22" t="s">
        <v>121</v>
      </c>
      <c r="B355" s="67">
        <v>0</v>
      </c>
      <c r="C355" s="67">
        <v>0</v>
      </c>
      <c r="D355" s="67">
        <v>0</v>
      </c>
      <c r="E355" s="67">
        <v>0</v>
      </c>
      <c r="F355" s="121">
        <v>1</v>
      </c>
      <c r="G355" s="67">
        <v>3300</v>
      </c>
      <c r="H355" s="1"/>
      <c r="I355" s="1"/>
      <c r="J355" s="1"/>
      <c r="K355" s="1"/>
      <c r="L355" s="1"/>
    </row>
    <row r="356" spans="1:13" ht="17.25">
      <c r="A356" s="27" t="s">
        <v>127</v>
      </c>
      <c r="B356" s="83">
        <f>683342.4+17000</f>
        <v>700342.4</v>
      </c>
      <c r="C356" s="83">
        <v>27500</v>
      </c>
      <c r="D356" s="83">
        <v>580</v>
      </c>
      <c r="E356" s="83">
        <v>50000</v>
      </c>
      <c r="F356" s="96">
        <v>0.2</v>
      </c>
      <c r="G356" s="83">
        <v>40000</v>
      </c>
      <c r="H356" s="1"/>
      <c r="I356" s="1"/>
      <c r="J356" s="1"/>
      <c r="K356" s="1"/>
      <c r="L356" s="1"/>
    </row>
    <row r="357" spans="1:13" ht="17.25">
      <c r="A357" s="16" t="s">
        <v>82</v>
      </c>
      <c r="B357" s="93">
        <f>B356</f>
        <v>700342.4</v>
      </c>
      <c r="C357" s="93">
        <v>27500</v>
      </c>
      <c r="D357" s="93">
        <v>580</v>
      </c>
      <c r="E357" s="93">
        <v>50000</v>
      </c>
      <c r="F357" s="73"/>
      <c r="G357" s="93">
        <f>G350+G351+G352+G353+G355+G356</f>
        <v>62700</v>
      </c>
      <c r="H357" s="1"/>
      <c r="I357" s="1"/>
      <c r="J357" s="1"/>
      <c r="K357" s="1"/>
      <c r="L357" s="1"/>
    </row>
    <row r="358" spans="1:13" ht="17.25">
      <c r="A358" s="15" t="s">
        <v>88</v>
      </c>
      <c r="B358" s="92">
        <f>B356</f>
        <v>700342.4</v>
      </c>
      <c r="C358" s="92">
        <v>27500</v>
      </c>
      <c r="D358" s="92">
        <v>580</v>
      </c>
      <c r="E358" s="92">
        <v>50000</v>
      </c>
      <c r="F358" s="88"/>
      <c r="G358" s="92">
        <f>G357</f>
        <v>62700</v>
      </c>
      <c r="H358" s="1"/>
      <c r="I358" s="1"/>
      <c r="J358" s="1"/>
      <c r="K358" s="1"/>
      <c r="L358" s="1"/>
    </row>
    <row r="359" spans="1:13" ht="17.25">
      <c r="A359" s="16" t="s">
        <v>145</v>
      </c>
      <c r="B359" s="97">
        <f>B313+B346+B358</f>
        <v>2750254.6999999997</v>
      </c>
      <c r="C359" s="97">
        <f>C313+C346+C358</f>
        <v>1726785.2799999998</v>
      </c>
      <c r="D359" s="97">
        <f>D313+D346+D358</f>
        <v>1530668</v>
      </c>
      <c r="E359" s="97">
        <f>E313+E346+E358</f>
        <v>1327140</v>
      </c>
      <c r="F359" s="98"/>
      <c r="G359" s="97">
        <f>G313+G346+G358</f>
        <v>1315150</v>
      </c>
    </row>
    <row r="360" spans="1:13" ht="17.25">
      <c r="A360" s="23" t="s">
        <v>146</v>
      </c>
      <c r="B360" s="65"/>
      <c r="C360" s="65"/>
      <c r="D360" s="65"/>
      <c r="E360" s="65"/>
      <c r="F360" s="68"/>
      <c r="G360" s="65"/>
    </row>
    <row r="361" spans="1:13" ht="17.25">
      <c r="A361" s="21" t="s">
        <v>105</v>
      </c>
      <c r="B361" s="66"/>
      <c r="C361" s="66"/>
      <c r="D361" s="66"/>
      <c r="E361" s="66"/>
      <c r="F361" s="69"/>
      <c r="G361" s="66"/>
    </row>
    <row r="362" spans="1:13" ht="17.25">
      <c r="A362" s="21" t="s">
        <v>24</v>
      </c>
      <c r="B362" s="65"/>
      <c r="C362" s="65"/>
      <c r="D362" s="65"/>
      <c r="E362" s="65"/>
      <c r="F362" s="68"/>
      <c r="G362" s="65"/>
    </row>
    <row r="363" spans="1:13" ht="17.25">
      <c r="A363" s="22" t="s">
        <v>25</v>
      </c>
      <c r="B363" s="66">
        <v>0</v>
      </c>
      <c r="C363" s="66">
        <v>0</v>
      </c>
      <c r="D363" s="66">
        <v>0</v>
      </c>
      <c r="E363" s="66">
        <v>1315680</v>
      </c>
      <c r="F363" s="105" t="s">
        <v>474</v>
      </c>
      <c r="G363" s="66">
        <v>1391000</v>
      </c>
    </row>
    <row r="364" spans="1:13" s="7" customFormat="1" ht="17.25">
      <c r="A364" s="27" t="s">
        <v>28</v>
      </c>
      <c r="B364" s="83">
        <v>0</v>
      </c>
      <c r="C364" s="83">
        <v>0</v>
      </c>
      <c r="D364" s="83">
        <v>0</v>
      </c>
      <c r="E364" s="83">
        <v>495600</v>
      </c>
      <c r="F364" s="128" t="s">
        <v>475</v>
      </c>
      <c r="G364" s="83">
        <v>508200</v>
      </c>
      <c r="H364" s="1"/>
      <c r="I364" s="1"/>
      <c r="J364" s="1"/>
      <c r="K364" s="1"/>
      <c r="L364" s="1"/>
      <c r="M364" s="1"/>
    </row>
    <row r="365" spans="1:13" s="7" customFormat="1" ht="17.25">
      <c r="A365" s="49"/>
      <c r="B365" s="86"/>
      <c r="C365" s="86"/>
      <c r="D365" s="86"/>
      <c r="E365" s="86"/>
      <c r="F365" s="133"/>
      <c r="G365" s="86"/>
      <c r="H365" s="1"/>
      <c r="I365" s="1"/>
      <c r="J365" s="1"/>
      <c r="K365" s="1"/>
      <c r="L365" s="1"/>
      <c r="M365" s="1"/>
    </row>
    <row r="366" spans="1:13" s="7" customFormat="1" ht="17.25">
      <c r="A366" s="40"/>
      <c r="B366" s="87"/>
      <c r="C366" s="87"/>
      <c r="D366" s="87"/>
      <c r="E366" s="87"/>
      <c r="F366" s="132"/>
      <c r="G366" s="87"/>
      <c r="H366" s="1"/>
      <c r="I366" s="1"/>
      <c r="J366" s="1"/>
      <c r="K366" s="1"/>
      <c r="L366" s="1"/>
      <c r="M366" s="1"/>
    </row>
    <row r="367" spans="1:13" s="7" customFormat="1" ht="17.25">
      <c r="A367" s="40"/>
      <c r="B367" s="87"/>
      <c r="C367" s="87"/>
      <c r="D367" s="87"/>
      <c r="E367" s="87"/>
      <c r="F367" s="132"/>
      <c r="G367" s="87"/>
      <c r="H367" s="1"/>
      <c r="I367" s="1"/>
      <c r="J367" s="1"/>
      <c r="K367" s="1"/>
      <c r="L367" s="1"/>
      <c r="M367" s="1"/>
    </row>
    <row r="368" spans="1:13" s="7" customFormat="1" ht="17.25">
      <c r="A368" s="40"/>
      <c r="B368" s="87"/>
      <c r="C368" s="87"/>
      <c r="D368" s="87"/>
      <c r="E368" s="87"/>
      <c r="F368" s="132"/>
      <c r="G368" s="87"/>
      <c r="H368" s="1"/>
      <c r="I368" s="1"/>
      <c r="J368" s="1"/>
      <c r="K368" s="1"/>
      <c r="L368" s="1"/>
      <c r="M368" s="1"/>
    </row>
    <row r="369" spans="1:13" s="7" customFormat="1" ht="17.25">
      <c r="A369" s="40"/>
      <c r="B369" s="87"/>
      <c r="C369" s="87"/>
      <c r="D369" s="87"/>
      <c r="E369" s="87"/>
      <c r="F369" s="132"/>
      <c r="G369" s="87"/>
      <c r="H369" s="1"/>
      <c r="I369" s="1"/>
      <c r="J369" s="1"/>
      <c r="K369" s="1"/>
      <c r="L369" s="1"/>
      <c r="M369" s="1"/>
    </row>
    <row r="370" spans="1:13" s="7" customFormat="1" ht="17.25">
      <c r="A370" s="40"/>
      <c r="B370" s="87"/>
      <c r="C370" s="87"/>
      <c r="D370" s="87"/>
      <c r="E370" s="87"/>
      <c r="F370" s="132"/>
      <c r="G370" s="87"/>
      <c r="H370" s="1"/>
      <c r="I370" s="1"/>
      <c r="J370" s="1"/>
      <c r="K370" s="1"/>
      <c r="L370" s="1"/>
      <c r="M370" s="1"/>
    </row>
    <row r="371" spans="1:13" s="34" customFormat="1" ht="17.25">
      <c r="A371" s="199"/>
      <c r="B371" s="199" t="s">
        <v>3</v>
      </c>
      <c r="C371" s="199"/>
      <c r="D371" s="199"/>
      <c r="E371" s="199" t="s">
        <v>4</v>
      </c>
      <c r="F371" s="199"/>
      <c r="G371" s="199"/>
      <c r="H371" s="33"/>
      <c r="I371" s="33"/>
      <c r="J371" s="33"/>
      <c r="K371" s="33"/>
      <c r="L371" s="33"/>
      <c r="M371" s="33"/>
    </row>
    <row r="372" spans="1:13" s="34" customFormat="1" ht="17.25">
      <c r="A372" s="199"/>
      <c r="B372" s="159" t="s">
        <v>5</v>
      </c>
      <c r="C372" s="159" t="s">
        <v>6</v>
      </c>
      <c r="D372" s="159" t="s">
        <v>7</v>
      </c>
      <c r="E372" s="159" t="s">
        <v>9</v>
      </c>
      <c r="F372" s="159" t="s">
        <v>8</v>
      </c>
      <c r="G372" s="159" t="s">
        <v>417</v>
      </c>
      <c r="H372" s="33"/>
      <c r="I372" s="33"/>
      <c r="J372" s="33"/>
      <c r="K372" s="33"/>
      <c r="L372" s="33"/>
      <c r="M372" s="33"/>
    </row>
    <row r="373" spans="1:13" s="7" customFormat="1" ht="17.25">
      <c r="A373" s="22" t="s">
        <v>106</v>
      </c>
      <c r="B373" s="65">
        <v>0</v>
      </c>
      <c r="C373" s="65">
        <v>0</v>
      </c>
      <c r="D373" s="65">
        <v>0</v>
      </c>
      <c r="E373" s="65">
        <v>72000</v>
      </c>
      <c r="F373" s="59">
        <v>0</v>
      </c>
      <c r="G373" s="65">
        <v>72000</v>
      </c>
      <c r="H373" s="1"/>
      <c r="I373" s="1"/>
      <c r="J373" s="1"/>
      <c r="K373" s="1"/>
      <c r="L373" s="1"/>
      <c r="M373" s="1"/>
    </row>
    <row r="374" spans="1:13" s="7" customFormat="1" ht="17.25">
      <c r="A374" s="15" t="s">
        <v>107</v>
      </c>
      <c r="B374" s="92">
        <v>0</v>
      </c>
      <c r="C374" s="92">
        <v>0</v>
      </c>
      <c r="D374" s="92">
        <v>0</v>
      </c>
      <c r="E374" s="92">
        <f>SUM(E363:E373)</f>
        <v>1883280</v>
      </c>
      <c r="F374" s="88"/>
      <c r="G374" s="92">
        <f>SUM(G363:G373)</f>
        <v>1971200</v>
      </c>
      <c r="H374" s="1"/>
      <c r="I374" s="1"/>
      <c r="J374" s="1"/>
      <c r="K374" s="1"/>
      <c r="L374" s="1"/>
      <c r="M374" s="1"/>
    </row>
    <row r="375" spans="1:13" s="7" customFormat="1" ht="17.25">
      <c r="A375" s="32" t="s">
        <v>108</v>
      </c>
      <c r="B375" s="93">
        <v>0</v>
      </c>
      <c r="C375" s="93">
        <v>0</v>
      </c>
      <c r="D375" s="93">
        <v>0</v>
      </c>
      <c r="E375" s="93">
        <v>1883280</v>
      </c>
      <c r="F375" s="73"/>
      <c r="G375" s="93">
        <f>G374</f>
        <v>1971200</v>
      </c>
      <c r="H375" s="1"/>
      <c r="I375" s="1"/>
      <c r="J375" s="1"/>
      <c r="K375" s="1"/>
      <c r="L375" s="1"/>
      <c r="M375" s="1"/>
    </row>
    <row r="376" spans="1:13" s="7" customFormat="1" ht="17.25">
      <c r="A376" s="21" t="s">
        <v>33</v>
      </c>
      <c r="B376" s="66"/>
      <c r="C376" s="66"/>
      <c r="D376" s="66"/>
      <c r="E376" s="66"/>
      <c r="F376" s="69"/>
      <c r="G376" s="66"/>
      <c r="H376" s="1"/>
      <c r="I376" s="1"/>
      <c r="J376" s="1"/>
      <c r="K376" s="1"/>
      <c r="L376" s="1"/>
      <c r="M376" s="1"/>
    </row>
    <row r="377" spans="1:13" s="7" customFormat="1" ht="17.25">
      <c r="A377" s="30" t="s">
        <v>34</v>
      </c>
      <c r="B377" s="66"/>
      <c r="C377" s="66"/>
      <c r="D377" s="66"/>
      <c r="E377" s="66"/>
      <c r="F377" s="114"/>
      <c r="G377" s="66"/>
      <c r="H377" s="1"/>
      <c r="I377" s="1"/>
      <c r="J377" s="1"/>
      <c r="K377" s="1"/>
      <c r="L377" s="1"/>
      <c r="M377" s="1"/>
    </row>
    <row r="378" spans="1:13" s="7" customFormat="1" ht="17.25">
      <c r="A378" s="30" t="s">
        <v>324</v>
      </c>
      <c r="B378" s="200">
        <v>0</v>
      </c>
      <c r="C378" s="200">
        <v>0</v>
      </c>
      <c r="D378" s="200">
        <v>0</v>
      </c>
      <c r="E378" s="200"/>
      <c r="F378" s="203">
        <v>1</v>
      </c>
      <c r="G378" s="200">
        <v>78550</v>
      </c>
      <c r="H378" s="1"/>
      <c r="I378" s="1"/>
      <c r="J378" s="1"/>
      <c r="K378" s="1"/>
      <c r="L378" s="1"/>
      <c r="M378" s="1"/>
    </row>
    <row r="379" spans="1:13" s="7" customFormat="1" ht="17.25">
      <c r="A379" s="24" t="s">
        <v>302</v>
      </c>
      <c r="B379" s="202"/>
      <c r="C379" s="202"/>
      <c r="D379" s="202"/>
      <c r="E379" s="202"/>
      <c r="F379" s="205"/>
      <c r="G379" s="202"/>
      <c r="H379" s="1"/>
      <c r="I379" s="1"/>
      <c r="J379" s="1"/>
      <c r="K379" s="1"/>
      <c r="L379" s="1"/>
      <c r="M379" s="1"/>
    </row>
    <row r="380" spans="1:13" s="7" customFormat="1" ht="17.25">
      <c r="A380" s="16" t="s">
        <v>40</v>
      </c>
      <c r="B380" s="92">
        <v>0</v>
      </c>
      <c r="C380" s="92">
        <v>0</v>
      </c>
      <c r="D380" s="92">
        <v>0</v>
      </c>
      <c r="E380" s="92">
        <v>0</v>
      </c>
      <c r="F380" s="88"/>
      <c r="G380" s="92">
        <v>78550</v>
      </c>
      <c r="H380" s="1"/>
      <c r="I380" s="1"/>
      <c r="J380" s="1"/>
      <c r="K380" s="1"/>
      <c r="L380" s="1"/>
      <c r="M380" s="1"/>
    </row>
    <row r="381" spans="1:13" s="7" customFormat="1" ht="17.25">
      <c r="A381" s="23" t="s">
        <v>41</v>
      </c>
      <c r="B381" s="65"/>
      <c r="C381" s="65"/>
      <c r="D381" s="65"/>
      <c r="E381" s="65"/>
      <c r="F381" s="68"/>
      <c r="G381" s="65"/>
      <c r="H381" s="1"/>
      <c r="I381" s="1"/>
      <c r="J381" s="1"/>
      <c r="K381" s="1"/>
      <c r="L381" s="1"/>
      <c r="M381" s="1"/>
    </row>
    <row r="382" spans="1:13" s="7" customFormat="1" ht="17.25">
      <c r="A382" s="104" t="s">
        <v>42</v>
      </c>
      <c r="B382" s="65">
        <v>0</v>
      </c>
      <c r="C382" s="65">
        <v>0</v>
      </c>
      <c r="D382" s="65">
        <v>0</v>
      </c>
      <c r="E382" s="65">
        <v>270000</v>
      </c>
      <c r="F382" s="119" t="s">
        <v>476</v>
      </c>
      <c r="G382" s="65">
        <v>300000</v>
      </c>
      <c r="H382" s="1"/>
      <c r="I382" s="1"/>
      <c r="J382" s="1"/>
      <c r="K382" s="1"/>
      <c r="L382" s="1"/>
      <c r="M382" s="1"/>
    </row>
    <row r="383" spans="1:13" s="7" customFormat="1" ht="17.25">
      <c r="A383" s="17" t="s">
        <v>44</v>
      </c>
      <c r="B383" s="200"/>
      <c r="C383" s="200"/>
      <c r="D383" s="200"/>
      <c r="E383" s="200"/>
      <c r="F383" s="200"/>
      <c r="G383" s="200"/>
      <c r="H383" s="1"/>
      <c r="I383" s="1"/>
      <c r="J383" s="1"/>
      <c r="K383" s="1"/>
      <c r="L383" s="1"/>
      <c r="M383" s="1"/>
    </row>
    <row r="384" spans="1:13" s="7" customFormat="1" ht="17.25">
      <c r="A384" s="18" t="s">
        <v>308</v>
      </c>
      <c r="B384" s="202"/>
      <c r="C384" s="202"/>
      <c r="D384" s="202"/>
      <c r="E384" s="202"/>
      <c r="F384" s="202"/>
      <c r="G384" s="202"/>
      <c r="H384" s="1"/>
      <c r="I384" s="1"/>
      <c r="J384" s="1"/>
      <c r="K384" s="1"/>
      <c r="L384" s="1"/>
      <c r="M384" s="1"/>
    </row>
    <row r="385" spans="1:13" s="7" customFormat="1" ht="17.25">
      <c r="A385" s="24" t="s">
        <v>147</v>
      </c>
      <c r="B385" s="55">
        <v>50000</v>
      </c>
      <c r="C385" s="56">
        <v>50000</v>
      </c>
      <c r="D385" s="56">
        <f>42173+86</f>
        <v>42259</v>
      </c>
      <c r="E385" s="54">
        <v>0</v>
      </c>
      <c r="F385" s="75" t="s">
        <v>320</v>
      </c>
      <c r="G385" s="54">
        <v>0</v>
      </c>
      <c r="H385" s="1"/>
      <c r="I385" s="1"/>
      <c r="J385" s="1"/>
      <c r="K385" s="1"/>
      <c r="L385" s="1"/>
      <c r="M385" s="1"/>
    </row>
    <row r="386" spans="1:13" s="7" customFormat="1" ht="17.25">
      <c r="A386" s="8" t="s">
        <v>148</v>
      </c>
      <c r="B386" s="83">
        <v>100000</v>
      </c>
      <c r="C386" s="83">
        <v>100000</v>
      </c>
      <c r="D386" s="83">
        <v>0</v>
      </c>
      <c r="E386" s="83">
        <v>0</v>
      </c>
      <c r="F386" s="118" t="s">
        <v>320</v>
      </c>
      <c r="G386" s="83">
        <v>50000</v>
      </c>
      <c r="H386" s="1"/>
      <c r="I386" s="1"/>
      <c r="J386" s="1"/>
      <c r="K386" s="1"/>
      <c r="L386" s="1"/>
      <c r="M386" s="1"/>
    </row>
    <row r="387" spans="1:13" s="7" customFormat="1" ht="17.25">
      <c r="A387" s="24" t="s">
        <v>149</v>
      </c>
      <c r="B387" s="65">
        <f>494800-68192</f>
        <v>426608</v>
      </c>
      <c r="C387" s="65">
        <v>520200</v>
      </c>
      <c r="D387" s="65">
        <v>639200</v>
      </c>
      <c r="E387" s="65">
        <v>0</v>
      </c>
      <c r="F387" s="75" t="s">
        <v>320</v>
      </c>
      <c r="G387" s="65">
        <v>893000</v>
      </c>
      <c r="H387" s="1"/>
      <c r="I387" s="1"/>
      <c r="J387" s="1"/>
      <c r="K387" s="1"/>
      <c r="L387" s="1"/>
      <c r="M387" s="1"/>
    </row>
    <row r="388" spans="1:13" s="7" customFormat="1" ht="17.25">
      <c r="A388" s="22" t="s">
        <v>46</v>
      </c>
      <c r="B388" s="66">
        <v>20000</v>
      </c>
      <c r="C388" s="66">
        <v>20000</v>
      </c>
      <c r="D388" s="66">
        <v>0</v>
      </c>
      <c r="E388" s="66">
        <v>30000</v>
      </c>
      <c r="F388" s="105" t="s">
        <v>477</v>
      </c>
      <c r="G388" s="66">
        <v>35000</v>
      </c>
      <c r="H388" s="1"/>
      <c r="I388" s="1"/>
      <c r="J388" s="1"/>
      <c r="K388" s="1"/>
      <c r="L388" s="1"/>
      <c r="M388" s="1"/>
    </row>
    <row r="389" spans="1:13" s="7" customFormat="1" ht="17.25">
      <c r="A389" s="24" t="s">
        <v>147</v>
      </c>
      <c r="B389" s="66">
        <v>0</v>
      </c>
      <c r="C389" s="66">
        <v>0</v>
      </c>
      <c r="D389" s="66">
        <v>0</v>
      </c>
      <c r="E389" s="66">
        <v>50000</v>
      </c>
      <c r="F389" s="74">
        <v>-1</v>
      </c>
      <c r="G389" s="66">
        <v>0</v>
      </c>
      <c r="H389" s="1"/>
      <c r="I389" s="1"/>
      <c r="J389" s="1"/>
      <c r="K389" s="1"/>
      <c r="L389" s="1"/>
    </row>
    <row r="390" spans="1:13" s="7" customFormat="1" ht="17.25">
      <c r="A390" s="22" t="s">
        <v>148</v>
      </c>
      <c r="B390" s="56">
        <v>0</v>
      </c>
      <c r="C390" s="56">
        <v>0</v>
      </c>
      <c r="D390" s="56">
        <v>0</v>
      </c>
      <c r="E390" s="56">
        <v>70000</v>
      </c>
      <c r="F390" s="59">
        <v>-1</v>
      </c>
      <c r="G390" s="56">
        <v>0</v>
      </c>
      <c r="H390" s="1"/>
      <c r="I390" s="1"/>
      <c r="J390" s="1"/>
      <c r="K390" s="1"/>
      <c r="L390" s="1"/>
    </row>
    <row r="391" spans="1:13" s="7" customFormat="1" ht="17.25">
      <c r="A391" s="22" t="s">
        <v>149</v>
      </c>
      <c r="B391" s="57">
        <v>0</v>
      </c>
      <c r="C391" s="57">
        <v>0</v>
      </c>
      <c r="D391" s="57">
        <v>0</v>
      </c>
      <c r="E391" s="57">
        <v>855000</v>
      </c>
      <c r="F391" s="64">
        <v>-1</v>
      </c>
      <c r="G391" s="57">
        <v>0</v>
      </c>
      <c r="H391" s="1"/>
      <c r="I391" s="1"/>
      <c r="J391" s="1"/>
      <c r="K391" s="1"/>
      <c r="L391" s="1"/>
    </row>
    <row r="392" spans="1:13" s="7" customFormat="1" ht="17.25">
      <c r="A392" s="22" t="s">
        <v>49</v>
      </c>
      <c r="B392" s="65">
        <v>0</v>
      </c>
      <c r="C392" s="65">
        <v>0</v>
      </c>
      <c r="D392" s="65">
        <v>0</v>
      </c>
      <c r="E392" s="65">
        <v>10000</v>
      </c>
      <c r="F392" s="59">
        <v>2</v>
      </c>
      <c r="G392" s="65">
        <v>30000</v>
      </c>
      <c r="H392" s="1"/>
      <c r="I392" s="1"/>
      <c r="J392" s="1"/>
      <c r="K392" s="1"/>
      <c r="L392" s="1"/>
    </row>
    <row r="393" spans="1:13" s="7" customFormat="1" ht="17.25">
      <c r="A393" s="15" t="s">
        <v>50</v>
      </c>
      <c r="B393" s="92">
        <f>SUM(B385:B392)</f>
        <v>596608</v>
      </c>
      <c r="C393" s="92">
        <f>SUM(C385:C392)</f>
        <v>690200</v>
      </c>
      <c r="D393" s="92">
        <f>SUM(D385:D392)</f>
        <v>681459</v>
      </c>
      <c r="E393" s="92">
        <f>SUM(E382:E392)</f>
        <v>1285000</v>
      </c>
      <c r="F393" s="88"/>
      <c r="G393" s="92">
        <f>SUM(G382:G392)</f>
        <v>1308000</v>
      </c>
      <c r="H393" s="1"/>
      <c r="I393" s="1"/>
      <c r="J393" s="1"/>
      <c r="K393" s="1"/>
      <c r="L393" s="1"/>
    </row>
    <row r="394" spans="1:13" s="7" customFormat="1" ht="17.25">
      <c r="A394" s="11" t="s">
        <v>51</v>
      </c>
      <c r="B394" s="65"/>
      <c r="C394" s="65"/>
      <c r="D394" s="65"/>
      <c r="E394" s="65"/>
      <c r="F394" s="68"/>
      <c r="G394" s="65"/>
      <c r="H394" s="1"/>
      <c r="I394" s="1"/>
      <c r="J394" s="1"/>
      <c r="K394" s="1"/>
      <c r="L394" s="1"/>
    </row>
    <row r="395" spans="1:13" s="7" customFormat="1" ht="17.25">
      <c r="A395" s="26" t="s">
        <v>52</v>
      </c>
      <c r="B395" s="67">
        <v>74474</v>
      </c>
      <c r="C395" s="67">
        <v>73000</v>
      </c>
      <c r="D395" s="67">
        <f>23200+43500</f>
        <v>66700</v>
      </c>
      <c r="E395" s="67">
        <v>0</v>
      </c>
      <c r="F395" s="91"/>
      <c r="G395" s="67">
        <v>0</v>
      </c>
      <c r="H395" s="1"/>
      <c r="I395" s="1"/>
      <c r="J395" s="1"/>
      <c r="K395" s="1"/>
      <c r="L395" s="1"/>
    </row>
    <row r="396" spans="1:13" ht="17.25">
      <c r="A396" s="27" t="s">
        <v>53</v>
      </c>
      <c r="B396" s="83">
        <v>0</v>
      </c>
      <c r="C396" s="83">
        <v>0</v>
      </c>
      <c r="D396" s="83">
        <v>0</v>
      </c>
      <c r="E396" s="83">
        <v>5000</v>
      </c>
      <c r="F396" s="116">
        <v>0</v>
      </c>
      <c r="G396" s="83">
        <v>5000</v>
      </c>
      <c r="H396" s="1"/>
      <c r="I396" s="1"/>
      <c r="J396" s="1"/>
      <c r="K396" s="1"/>
      <c r="L396" s="1"/>
    </row>
    <row r="397" spans="1:13" ht="17.25">
      <c r="A397" s="22" t="s">
        <v>54</v>
      </c>
      <c r="B397" s="65">
        <v>20000</v>
      </c>
      <c r="C397" s="65">
        <v>10000</v>
      </c>
      <c r="D397" s="65">
        <v>50000</v>
      </c>
      <c r="E397" s="65">
        <v>30000</v>
      </c>
      <c r="F397" s="75" t="s">
        <v>436</v>
      </c>
      <c r="G397" s="65">
        <v>15000</v>
      </c>
      <c r="H397" s="1"/>
      <c r="I397" s="1"/>
      <c r="J397" s="1"/>
      <c r="K397" s="1"/>
      <c r="L397" s="1"/>
    </row>
    <row r="398" spans="1:13" s="7" customFormat="1" ht="17.25">
      <c r="A398" s="40"/>
      <c r="B398" s="87"/>
      <c r="C398" s="87"/>
      <c r="D398" s="87"/>
      <c r="E398" s="87"/>
      <c r="F398" s="80"/>
      <c r="G398" s="87"/>
      <c r="H398" s="1"/>
      <c r="I398" s="1"/>
      <c r="J398" s="1"/>
      <c r="K398" s="1"/>
      <c r="L398" s="1"/>
    </row>
    <row r="399" spans="1:13" s="7" customFormat="1" ht="17.25">
      <c r="A399" s="40"/>
      <c r="B399" s="87"/>
      <c r="C399" s="87"/>
      <c r="D399" s="87"/>
      <c r="E399" s="87"/>
      <c r="F399" s="80"/>
      <c r="G399" s="87"/>
      <c r="H399" s="1"/>
      <c r="I399" s="1"/>
      <c r="J399" s="1"/>
      <c r="K399" s="1"/>
      <c r="L399" s="1"/>
    </row>
    <row r="400" spans="1:13" s="7" customFormat="1" ht="17.25">
      <c r="A400" s="40"/>
      <c r="B400" s="87"/>
      <c r="C400" s="87"/>
      <c r="D400" s="87"/>
      <c r="E400" s="87"/>
      <c r="F400" s="80"/>
      <c r="G400" s="87"/>
      <c r="H400" s="1"/>
      <c r="I400" s="1"/>
      <c r="J400" s="1"/>
      <c r="K400" s="1"/>
      <c r="L400" s="1"/>
    </row>
    <row r="401" spans="1:13" s="7" customFormat="1" ht="17.25">
      <c r="A401" s="40"/>
      <c r="B401" s="87"/>
      <c r="C401" s="87"/>
      <c r="D401" s="87"/>
      <c r="E401" s="87"/>
      <c r="F401" s="80"/>
      <c r="G401" s="87"/>
      <c r="H401" s="1"/>
      <c r="I401" s="1"/>
      <c r="J401" s="1"/>
      <c r="K401" s="1"/>
      <c r="L401" s="1"/>
    </row>
    <row r="402" spans="1:13" s="34" customFormat="1" ht="17.25">
      <c r="A402" s="199"/>
      <c r="B402" s="199" t="s">
        <v>3</v>
      </c>
      <c r="C402" s="199"/>
      <c r="D402" s="199"/>
      <c r="E402" s="199" t="s">
        <v>4</v>
      </c>
      <c r="F402" s="199"/>
      <c r="G402" s="199"/>
      <c r="H402" s="33"/>
      <c r="I402" s="33"/>
      <c r="J402" s="33"/>
      <c r="K402" s="33"/>
      <c r="L402" s="33"/>
      <c r="M402" s="33"/>
    </row>
    <row r="403" spans="1:13" s="34" customFormat="1" ht="17.25">
      <c r="A403" s="199"/>
      <c r="B403" s="159" t="s">
        <v>5</v>
      </c>
      <c r="C403" s="159" t="s">
        <v>6</v>
      </c>
      <c r="D403" s="159" t="s">
        <v>7</v>
      </c>
      <c r="E403" s="159" t="s">
        <v>9</v>
      </c>
      <c r="F403" s="159" t="s">
        <v>8</v>
      </c>
      <c r="G403" s="159" t="s">
        <v>417</v>
      </c>
      <c r="H403" s="33"/>
      <c r="I403" s="33"/>
      <c r="J403" s="33"/>
      <c r="K403" s="33"/>
      <c r="L403" s="33"/>
      <c r="M403" s="33"/>
    </row>
    <row r="404" spans="1:13" ht="17.25">
      <c r="A404" s="26" t="s">
        <v>150</v>
      </c>
      <c r="B404" s="66">
        <f>1478226.71-20000</f>
        <v>1458226.71</v>
      </c>
      <c r="C404" s="66">
        <v>1437515.95</v>
      </c>
      <c r="D404" s="66">
        <v>1298833.6000000001</v>
      </c>
      <c r="E404" s="66">
        <v>1490000</v>
      </c>
      <c r="F404" s="95">
        <v>-2.35E-2</v>
      </c>
      <c r="G404" s="66">
        <v>1455000</v>
      </c>
      <c r="H404" s="1"/>
      <c r="I404" s="1"/>
      <c r="J404" s="1"/>
      <c r="K404" s="1"/>
      <c r="L404" s="1"/>
    </row>
    <row r="405" spans="1:13" ht="17.25">
      <c r="A405" s="27" t="s">
        <v>151</v>
      </c>
      <c r="B405" s="83">
        <v>0</v>
      </c>
      <c r="C405" s="83">
        <v>0</v>
      </c>
      <c r="D405" s="83">
        <v>0</v>
      </c>
      <c r="E405" s="83">
        <v>5000</v>
      </c>
      <c r="F405" s="96">
        <v>0</v>
      </c>
      <c r="G405" s="83">
        <v>10000</v>
      </c>
      <c r="H405" s="1"/>
      <c r="I405" s="1"/>
      <c r="J405" s="1"/>
      <c r="K405" s="1"/>
      <c r="L405" s="1"/>
    </row>
    <row r="406" spans="1:13" ht="17.25">
      <c r="A406" s="16" t="s">
        <v>60</v>
      </c>
      <c r="B406" s="93">
        <f>B395+B404+B397</f>
        <v>1552700.71</v>
      </c>
      <c r="C406" s="93">
        <f>C404+C395+C397</f>
        <v>1520515.95</v>
      </c>
      <c r="D406" s="93">
        <f>D395+D404+D405+D397+D396</f>
        <v>1415533.6</v>
      </c>
      <c r="E406" s="93">
        <f>E404+E405+E397+E396</f>
        <v>1530000</v>
      </c>
      <c r="F406" s="73"/>
      <c r="G406" s="93">
        <f>G404+G396+G397+G405</f>
        <v>1485000</v>
      </c>
      <c r="H406" s="1"/>
      <c r="I406" s="1"/>
      <c r="J406" s="1"/>
      <c r="K406" s="1"/>
      <c r="L406" s="1"/>
    </row>
    <row r="407" spans="1:13" ht="17.25">
      <c r="A407" s="23" t="s">
        <v>61</v>
      </c>
      <c r="B407" s="66"/>
      <c r="C407" s="66"/>
      <c r="D407" s="66"/>
      <c r="E407" s="66"/>
      <c r="F407" s="69"/>
      <c r="G407" s="66"/>
      <c r="H407" s="1"/>
      <c r="I407" s="1"/>
      <c r="J407" s="1"/>
      <c r="K407" s="1"/>
      <c r="L407" s="1"/>
    </row>
    <row r="408" spans="1:13" ht="17.25">
      <c r="A408" s="22" t="s">
        <v>62</v>
      </c>
      <c r="B408" s="83">
        <v>0</v>
      </c>
      <c r="C408" s="83">
        <v>18000</v>
      </c>
      <c r="D408" s="83">
        <f>2931.8+9276.41</f>
        <v>12208.21</v>
      </c>
      <c r="E408" s="83">
        <v>30000</v>
      </c>
      <c r="F408" s="96">
        <v>-0.1</v>
      </c>
      <c r="G408" s="83">
        <v>27000</v>
      </c>
    </row>
    <row r="409" spans="1:13" ht="17.25">
      <c r="A409" s="24" t="s">
        <v>63</v>
      </c>
      <c r="B409" s="65">
        <v>16000</v>
      </c>
      <c r="C409" s="65">
        <v>18500</v>
      </c>
      <c r="D409" s="65">
        <v>21710.27</v>
      </c>
      <c r="E409" s="65">
        <v>30000</v>
      </c>
      <c r="F409" s="119" t="s">
        <v>477</v>
      </c>
      <c r="G409" s="65">
        <v>35000</v>
      </c>
    </row>
    <row r="410" spans="1:13" ht="17.25">
      <c r="A410" s="22" t="s">
        <v>64</v>
      </c>
      <c r="B410" s="66">
        <v>17891.72</v>
      </c>
      <c r="C410" s="66">
        <v>33659.31</v>
      </c>
      <c r="D410" s="66">
        <v>3271.9</v>
      </c>
      <c r="E410" s="66">
        <v>8000</v>
      </c>
      <c r="F410" s="74">
        <v>0</v>
      </c>
      <c r="G410" s="66">
        <v>8000</v>
      </c>
    </row>
    <row r="411" spans="1:13" ht="17.25">
      <c r="A411" s="19" t="s">
        <v>66</v>
      </c>
      <c r="B411" s="65">
        <v>0</v>
      </c>
      <c r="C411" s="65">
        <v>0</v>
      </c>
      <c r="D411" s="65">
        <v>0</v>
      </c>
      <c r="E411" s="65">
        <v>30000</v>
      </c>
      <c r="F411" s="59">
        <v>-0.4</v>
      </c>
      <c r="G411" s="65">
        <v>18000</v>
      </c>
    </row>
    <row r="412" spans="1:13" ht="17.25">
      <c r="A412" s="16" t="s">
        <v>67</v>
      </c>
      <c r="B412" s="92">
        <f>SUM(B408:B411)</f>
        <v>33891.72</v>
      </c>
      <c r="C412" s="92">
        <f>SUM(C408:C411)</f>
        <v>70159.31</v>
      </c>
      <c r="D412" s="92">
        <f>SUM(D408:D411)</f>
        <v>37190.379999999997</v>
      </c>
      <c r="E412" s="92">
        <f>SUM(E408:E411)</f>
        <v>98000</v>
      </c>
      <c r="F412" s="88"/>
      <c r="G412" s="92">
        <f>SUM(G408:G411)</f>
        <v>88000</v>
      </c>
    </row>
    <row r="413" spans="1:13" s="7" customFormat="1" ht="17.25">
      <c r="A413" s="16" t="s">
        <v>68</v>
      </c>
      <c r="B413" s="93">
        <f>B393+B406+B412</f>
        <v>2183200.4300000002</v>
      </c>
      <c r="C413" s="93">
        <f>C393+C406+C412</f>
        <v>2280875.2600000002</v>
      </c>
      <c r="D413" s="93">
        <f>D393+D406+D412</f>
        <v>2134182.98</v>
      </c>
      <c r="E413" s="93">
        <f>E393+E406+E412</f>
        <v>2913000</v>
      </c>
      <c r="F413" s="93"/>
      <c r="G413" s="93">
        <f>G393+G406+G412+G380</f>
        <v>2959550</v>
      </c>
      <c r="H413" s="1"/>
      <c r="I413" s="1"/>
      <c r="J413" s="1"/>
      <c r="K413" s="1"/>
      <c r="L413" s="1"/>
      <c r="M413" s="1"/>
    </row>
    <row r="414" spans="1:13" s="7" customFormat="1" ht="17.25">
      <c r="A414" s="21" t="s">
        <v>69</v>
      </c>
      <c r="B414" s="65"/>
      <c r="C414" s="65"/>
      <c r="D414" s="65"/>
      <c r="E414" s="65"/>
      <c r="F414" s="65"/>
      <c r="G414" s="65"/>
      <c r="H414" s="1"/>
      <c r="I414" s="1"/>
      <c r="J414" s="1"/>
      <c r="K414" s="1"/>
      <c r="L414" s="1"/>
      <c r="M414" s="1"/>
    </row>
    <row r="415" spans="1:13" s="7" customFormat="1" ht="17.25">
      <c r="A415" s="23" t="s">
        <v>70</v>
      </c>
      <c r="B415" s="66"/>
      <c r="C415" s="66"/>
      <c r="D415" s="66"/>
      <c r="E415" s="66"/>
      <c r="F415" s="66"/>
      <c r="G415" s="66"/>
      <c r="H415" s="1"/>
      <c r="I415" s="1"/>
      <c r="J415" s="1"/>
      <c r="K415" s="1"/>
      <c r="L415" s="1"/>
      <c r="M415" s="1"/>
    </row>
    <row r="416" spans="1:13" s="7" customFormat="1" ht="17.25">
      <c r="A416" s="24" t="s">
        <v>80</v>
      </c>
      <c r="B416" s="66"/>
      <c r="C416" s="66"/>
      <c r="D416" s="66"/>
      <c r="E416" s="66"/>
      <c r="F416" s="66"/>
      <c r="G416" s="66"/>
      <c r="H416" s="1"/>
      <c r="I416" s="1"/>
      <c r="J416" s="1"/>
      <c r="K416" s="1"/>
      <c r="L416" s="1"/>
      <c r="M416" s="1"/>
    </row>
    <row r="417" spans="1:13" s="7" customFormat="1" ht="17.25">
      <c r="A417" s="22" t="s">
        <v>478</v>
      </c>
      <c r="B417" s="66">
        <v>0</v>
      </c>
      <c r="C417" s="66">
        <v>0</v>
      </c>
      <c r="D417" s="66">
        <v>0</v>
      </c>
      <c r="E417" s="66">
        <v>0</v>
      </c>
      <c r="F417" s="122">
        <v>1</v>
      </c>
      <c r="G417" s="66">
        <v>30000</v>
      </c>
      <c r="H417" s="1"/>
      <c r="I417" s="1"/>
      <c r="J417" s="1"/>
      <c r="K417" s="1"/>
      <c r="L417" s="1"/>
      <c r="M417" s="1"/>
    </row>
    <row r="418" spans="1:13" s="7" customFormat="1" ht="17.25">
      <c r="A418" s="24" t="s">
        <v>119</v>
      </c>
      <c r="B418" s="66"/>
      <c r="C418" s="66"/>
      <c r="D418" s="66"/>
      <c r="E418" s="66"/>
      <c r="F418" s="66"/>
      <c r="G418" s="66"/>
      <c r="H418" s="1"/>
      <c r="I418" s="1"/>
      <c r="J418" s="1"/>
      <c r="K418" s="1"/>
      <c r="L418" s="1"/>
      <c r="M418" s="1"/>
    </row>
    <row r="419" spans="1:13" s="7" customFormat="1" ht="17.25">
      <c r="A419" s="22" t="s">
        <v>479</v>
      </c>
      <c r="B419" s="66">
        <v>0</v>
      </c>
      <c r="C419" s="66">
        <v>0</v>
      </c>
      <c r="D419" s="66">
        <v>0</v>
      </c>
      <c r="E419" s="66">
        <v>0</v>
      </c>
      <c r="F419" s="122">
        <v>1</v>
      </c>
      <c r="G419" s="66">
        <v>16000</v>
      </c>
      <c r="H419" s="1"/>
      <c r="I419" s="1"/>
      <c r="J419" s="1"/>
      <c r="K419" s="1"/>
      <c r="L419" s="1"/>
      <c r="M419" s="1"/>
    </row>
    <row r="420" spans="1:13" s="7" customFormat="1" ht="17.25">
      <c r="A420" s="22" t="s">
        <v>121</v>
      </c>
      <c r="B420" s="66">
        <v>0</v>
      </c>
      <c r="C420" s="66">
        <v>0</v>
      </c>
      <c r="D420" s="66">
        <v>0</v>
      </c>
      <c r="E420" s="66">
        <v>0</v>
      </c>
      <c r="F420" s="122">
        <v>1</v>
      </c>
      <c r="G420" s="66">
        <v>3300</v>
      </c>
      <c r="H420" s="1"/>
      <c r="I420" s="1"/>
      <c r="J420" s="1"/>
      <c r="K420" s="1"/>
      <c r="L420" s="1"/>
      <c r="M420" s="1"/>
    </row>
    <row r="421" spans="1:13" s="7" customFormat="1" ht="17.25">
      <c r="A421" s="27" t="s">
        <v>127</v>
      </c>
      <c r="B421" s="65">
        <v>32970</v>
      </c>
      <c r="C421" s="65">
        <v>49000</v>
      </c>
      <c r="D421" s="65">
        <v>0</v>
      </c>
      <c r="E421" s="65">
        <v>50000</v>
      </c>
      <c r="F421" s="59">
        <v>-0.2</v>
      </c>
      <c r="G421" s="65">
        <v>40000</v>
      </c>
      <c r="H421" s="1"/>
      <c r="I421" s="1"/>
      <c r="J421" s="1"/>
      <c r="K421" s="1"/>
      <c r="L421" s="1"/>
      <c r="M421" s="1"/>
    </row>
    <row r="422" spans="1:13" s="7" customFormat="1" ht="17.25">
      <c r="A422" s="16" t="s">
        <v>82</v>
      </c>
      <c r="B422" s="92">
        <v>32970</v>
      </c>
      <c r="C422" s="92">
        <v>49000</v>
      </c>
      <c r="D422" s="92">
        <v>0</v>
      </c>
      <c r="E422" s="92">
        <v>50000</v>
      </c>
      <c r="F422" s="92"/>
      <c r="G422" s="92">
        <f>G417+G419+G420+G421</f>
        <v>89300</v>
      </c>
      <c r="H422" s="1"/>
      <c r="I422" s="1"/>
      <c r="J422" s="1"/>
      <c r="K422" s="1"/>
      <c r="L422" s="1"/>
      <c r="M422" s="1"/>
    </row>
    <row r="423" spans="1:13" s="7" customFormat="1" ht="17.25">
      <c r="A423" s="23" t="s">
        <v>152</v>
      </c>
      <c r="B423" s="65"/>
      <c r="C423" s="65"/>
      <c r="D423" s="65"/>
      <c r="E423" s="65"/>
      <c r="F423" s="65"/>
      <c r="G423" s="65"/>
      <c r="H423" s="1"/>
      <c r="I423" s="1"/>
      <c r="J423" s="1"/>
      <c r="K423" s="1"/>
      <c r="L423" s="1"/>
      <c r="M423" s="1"/>
    </row>
    <row r="424" spans="1:13" s="7" customFormat="1" ht="17.25">
      <c r="A424" s="31" t="s">
        <v>153</v>
      </c>
      <c r="B424" s="65"/>
      <c r="C424" s="65"/>
      <c r="D424" s="65"/>
      <c r="E424" s="65"/>
      <c r="F424" s="65"/>
      <c r="G424" s="65"/>
      <c r="H424" s="1"/>
      <c r="I424" s="1"/>
      <c r="J424" s="1"/>
      <c r="K424" s="1"/>
      <c r="L424" s="1"/>
      <c r="M424" s="1"/>
    </row>
    <row r="425" spans="1:13" s="7" customFormat="1" ht="17.25">
      <c r="A425" s="19" t="s">
        <v>154</v>
      </c>
      <c r="B425" s="66">
        <v>179405</v>
      </c>
      <c r="C425" s="66">
        <v>0</v>
      </c>
      <c r="D425" s="66">
        <v>0</v>
      </c>
      <c r="E425" s="66">
        <v>150000</v>
      </c>
      <c r="F425" s="74">
        <v>-1</v>
      </c>
      <c r="G425" s="66">
        <v>0</v>
      </c>
      <c r="H425" s="1"/>
      <c r="I425" s="1"/>
      <c r="J425" s="1"/>
      <c r="K425" s="1"/>
      <c r="L425" s="1"/>
      <c r="M425" s="1"/>
    </row>
    <row r="426" spans="1:13" s="7" customFormat="1" ht="17.25">
      <c r="A426" s="22" t="s">
        <v>155</v>
      </c>
      <c r="B426" s="55">
        <v>0</v>
      </c>
      <c r="C426" s="56">
        <v>0</v>
      </c>
      <c r="D426" s="56">
        <v>0</v>
      </c>
      <c r="E426" s="54">
        <v>150000</v>
      </c>
      <c r="F426" s="59">
        <v>-1</v>
      </c>
      <c r="G426" s="54">
        <v>0</v>
      </c>
      <c r="H426" s="1"/>
      <c r="I426" s="1"/>
      <c r="J426" s="1"/>
      <c r="K426" s="1"/>
      <c r="L426" s="1"/>
      <c r="M426" s="1"/>
    </row>
    <row r="427" spans="1:13" s="7" customFormat="1" ht="17.25">
      <c r="A427" s="4" t="s">
        <v>156</v>
      </c>
      <c r="B427" s="83"/>
      <c r="C427" s="83"/>
      <c r="D427" s="83"/>
      <c r="E427" s="83"/>
      <c r="F427" s="76"/>
      <c r="G427" s="83"/>
      <c r="H427" s="1"/>
      <c r="I427" s="1"/>
      <c r="J427" s="1"/>
      <c r="K427" s="1"/>
      <c r="L427" s="1"/>
      <c r="M427" s="1"/>
    </row>
    <row r="428" spans="1:13" s="7" customFormat="1" ht="17.25">
      <c r="A428" s="27" t="s">
        <v>326</v>
      </c>
      <c r="B428" s="200">
        <v>0</v>
      </c>
      <c r="C428" s="200">
        <v>0</v>
      </c>
      <c r="D428" s="200">
        <v>0</v>
      </c>
      <c r="E428" s="200">
        <v>600000</v>
      </c>
      <c r="F428" s="203">
        <v>-1</v>
      </c>
      <c r="G428" s="200">
        <v>0</v>
      </c>
      <c r="H428" s="1"/>
      <c r="I428" s="1"/>
      <c r="J428" s="1"/>
      <c r="K428" s="1"/>
      <c r="L428" s="1"/>
      <c r="M428" s="1"/>
    </row>
    <row r="429" spans="1:13" s="7" customFormat="1" ht="17.25">
      <c r="A429" s="24" t="s">
        <v>327</v>
      </c>
      <c r="B429" s="202"/>
      <c r="C429" s="202"/>
      <c r="D429" s="202"/>
      <c r="E429" s="202"/>
      <c r="F429" s="202"/>
      <c r="G429" s="202"/>
      <c r="H429" s="1"/>
      <c r="I429" s="1"/>
      <c r="J429" s="1"/>
      <c r="K429" s="1"/>
      <c r="L429" s="1"/>
      <c r="M429" s="1"/>
    </row>
    <row r="430" spans="1:13" s="7" customFormat="1" ht="17.25">
      <c r="A430" s="22" t="s">
        <v>157</v>
      </c>
      <c r="B430" s="65">
        <v>0</v>
      </c>
      <c r="C430" s="65">
        <v>0</v>
      </c>
      <c r="D430" s="65">
        <v>0</v>
      </c>
      <c r="E430" s="65">
        <v>210000</v>
      </c>
      <c r="F430" s="59">
        <v>-1</v>
      </c>
      <c r="G430" s="65">
        <v>0</v>
      </c>
      <c r="H430" s="1"/>
      <c r="I430" s="1"/>
      <c r="J430" s="1"/>
      <c r="K430" s="1"/>
      <c r="L430" s="1"/>
    </row>
    <row r="431" spans="1:13" s="7" customFormat="1" ht="17.25">
      <c r="A431" s="27" t="s">
        <v>480</v>
      </c>
      <c r="B431" s="200">
        <v>0</v>
      </c>
      <c r="C431" s="200">
        <v>0</v>
      </c>
      <c r="D431" s="200">
        <v>0</v>
      </c>
      <c r="E431" s="200">
        <v>252000</v>
      </c>
      <c r="F431" s="203">
        <v>-1</v>
      </c>
      <c r="G431" s="200">
        <v>0</v>
      </c>
      <c r="H431" s="1"/>
      <c r="I431" s="1"/>
      <c r="J431" s="1"/>
      <c r="K431" s="1"/>
      <c r="L431" s="1"/>
      <c r="M431" s="1"/>
    </row>
    <row r="432" spans="1:13" s="7" customFormat="1" ht="17.25">
      <c r="A432" s="24" t="s">
        <v>481</v>
      </c>
      <c r="B432" s="202"/>
      <c r="C432" s="202"/>
      <c r="D432" s="202"/>
      <c r="E432" s="202"/>
      <c r="F432" s="202"/>
      <c r="G432" s="202"/>
      <c r="H432" s="1"/>
      <c r="I432" s="1"/>
      <c r="J432" s="1"/>
      <c r="K432" s="1"/>
      <c r="L432" s="1"/>
      <c r="M432" s="1"/>
    </row>
    <row r="433" spans="1:13" s="34" customFormat="1" ht="17.25">
      <c r="A433" s="199"/>
      <c r="B433" s="199" t="s">
        <v>3</v>
      </c>
      <c r="C433" s="199"/>
      <c r="D433" s="199"/>
      <c r="E433" s="199" t="s">
        <v>4</v>
      </c>
      <c r="F433" s="199"/>
      <c r="G433" s="199"/>
      <c r="H433" s="33"/>
      <c r="I433" s="33"/>
      <c r="J433" s="33"/>
      <c r="K433" s="33"/>
      <c r="L433" s="33"/>
      <c r="M433" s="33"/>
    </row>
    <row r="434" spans="1:13" s="34" customFormat="1" ht="17.25">
      <c r="A434" s="199"/>
      <c r="B434" s="159" t="s">
        <v>5</v>
      </c>
      <c r="C434" s="159" t="s">
        <v>6</v>
      </c>
      <c r="D434" s="159" t="s">
        <v>7</v>
      </c>
      <c r="E434" s="159" t="s">
        <v>9</v>
      </c>
      <c r="F434" s="159" t="s">
        <v>8</v>
      </c>
      <c r="G434" s="159" t="s">
        <v>417</v>
      </c>
      <c r="H434" s="33"/>
      <c r="I434" s="33"/>
      <c r="J434" s="33"/>
      <c r="K434" s="33"/>
      <c r="L434" s="33"/>
      <c r="M434" s="33"/>
    </row>
    <row r="435" spans="1:13" s="7" customFormat="1" ht="17.25">
      <c r="A435" s="27" t="s">
        <v>158</v>
      </c>
      <c r="B435" s="8"/>
      <c r="C435" s="8"/>
      <c r="D435" s="8"/>
      <c r="E435" s="8"/>
      <c r="F435" s="8"/>
      <c r="G435" s="8"/>
      <c r="H435" s="1"/>
      <c r="I435" s="1"/>
      <c r="J435" s="1"/>
      <c r="K435" s="1"/>
      <c r="L435" s="1"/>
    </row>
    <row r="436" spans="1:13" s="7" customFormat="1" ht="17.25">
      <c r="A436" s="27" t="s">
        <v>328</v>
      </c>
      <c r="B436" s="200">
        <v>0</v>
      </c>
      <c r="C436" s="200">
        <v>0</v>
      </c>
      <c r="D436" s="200">
        <v>0</v>
      </c>
      <c r="E436" s="200">
        <v>15000</v>
      </c>
      <c r="F436" s="203">
        <v>-1</v>
      </c>
      <c r="G436" s="200">
        <v>0</v>
      </c>
      <c r="H436" s="1"/>
      <c r="I436" s="1"/>
      <c r="J436" s="1"/>
      <c r="K436" s="1"/>
      <c r="L436" s="1"/>
    </row>
    <row r="437" spans="1:13" s="7" customFormat="1" ht="17.25">
      <c r="A437" s="24" t="s">
        <v>329</v>
      </c>
      <c r="B437" s="202"/>
      <c r="C437" s="202"/>
      <c r="D437" s="202"/>
      <c r="E437" s="202"/>
      <c r="F437" s="202"/>
      <c r="G437" s="202"/>
      <c r="H437" s="1"/>
      <c r="I437" s="1"/>
      <c r="J437" s="1"/>
      <c r="K437" s="1"/>
      <c r="L437" s="1"/>
    </row>
    <row r="438" spans="1:13" s="7" customFormat="1" ht="17.25">
      <c r="A438" s="27" t="s">
        <v>482</v>
      </c>
      <c r="B438" s="200">
        <v>0</v>
      </c>
      <c r="C438" s="200">
        <v>0</v>
      </c>
      <c r="D438" s="200">
        <v>0</v>
      </c>
      <c r="E438" s="200">
        <v>20000</v>
      </c>
      <c r="F438" s="203">
        <v>1</v>
      </c>
      <c r="G438" s="200">
        <v>0</v>
      </c>
      <c r="H438" s="1"/>
      <c r="I438" s="1"/>
      <c r="J438" s="1"/>
      <c r="K438" s="1"/>
      <c r="L438" s="1"/>
    </row>
    <row r="439" spans="1:13" s="7" customFormat="1" ht="17.25">
      <c r="A439" s="24" t="s">
        <v>483</v>
      </c>
      <c r="B439" s="202"/>
      <c r="C439" s="202"/>
      <c r="D439" s="202"/>
      <c r="E439" s="202"/>
      <c r="F439" s="202"/>
      <c r="G439" s="202"/>
      <c r="H439" s="1"/>
      <c r="I439" s="1"/>
      <c r="J439" s="1"/>
      <c r="K439" s="1"/>
      <c r="L439" s="1"/>
    </row>
    <row r="440" spans="1:13" s="7" customFormat="1" ht="17.25">
      <c r="A440" s="22" t="s">
        <v>484</v>
      </c>
      <c r="B440" s="114">
        <v>0</v>
      </c>
      <c r="C440" s="114">
        <v>0</v>
      </c>
      <c r="D440" s="114">
        <v>0</v>
      </c>
      <c r="E440" s="114">
        <v>0</v>
      </c>
      <c r="F440" s="122">
        <v>1</v>
      </c>
      <c r="G440" s="114">
        <v>20000</v>
      </c>
      <c r="H440" s="1"/>
      <c r="I440" s="1"/>
      <c r="J440" s="1"/>
      <c r="K440" s="1"/>
      <c r="L440" s="1"/>
    </row>
    <row r="441" spans="1:13" s="7" customFormat="1" ht="17.25">
      <c r="A441" s="24" t="s">
        <v>159</v>
      </c>
      <c r="B441" s="65">
        <v>0</v>
      </c>
      <c r="C441" s="65">
        <v>0</v>
      </c>
      <c r="D441" s="65">
        <v>46000</v>
      </c>
      <c r="E441" s="65">
        <v>0</v>
      </c>
      <c r="F441" s="75" t="s">
        <v>318</v>
      </c>
      <c r="G441" s="65">
        <v>0</v>
      </c>
      <c r="H441" s="1"/>
      <c r="I441" s="1"/>
      <c r="J441" s="1"/>
      <c r="K441" s="1"/>
      <c r="L441" s="1"/>
    </row>
    <row r="442" spans="1:13" s="7" customFormat="1" ht="17.25">
      <c r="A442" s="15" t="s">
        <v>160</v>
      </c>
      <c r="B442" s="92">
        <f>179405</f>
        <v>179405</v>
      </c>
      <c r="C442" s="92">
        <v>0</v>
      </c>
      <c r="D442" s="92">
        <v>46000</v>
      </c>
      <c r="E442" s="92">
        <f>E425+E426+E428+E429+E430+E436+E437+E438+E439+E431+E432</f>
        <v>1397000</v>
      </c>
      <c r="F442" s="88"/>
      <c r="G442" s="92">
        <f>20000</f>
        <v>20000</v>
      </c>
      <c r="H442" s="1"/>
      <c r="I442" s="1"/>
      <c r="J442" s="1"/>
      <c r="K442" s="1"/>
      <c r="L442" s="1"/>
    </row>
    <row r="443" spans="1:13" s="7" customFormat="1" ht="17.25">
      <c r="A443" s="16" t="s">
        <v>88</v>
      </c>
      <c r="B443" s="93">
        <f>B422+B442</f>
        <v>212375</v>
      </c>
      <c r="C443" s="93">
        <f>C422+C442</f>
        <v>49000</v>
      </c>
      <c r="D443" s="93">
        <f>D422+D442</f>
        <v>46000</v>
      </c>
      <c r="E443" s="93">
        <f>E422+E442</f>
        <v>1447000</v>
      </c>
      <c r="F443" s="73"/>
      <c r="G443" s="93">
        <f>G422+G442</f>
        <v>109300</v>
      </c>
      <c r="H443" s="1"/>
      <c r="I443" s="1"/>
      <c r="J443" s="1"/>
      <c r="K443" s="1"/>
      <c r="L443" s="1"/>
    </row>
    <row r="444" spans="1:13" s="7" customFormat="1" ht="17.25">
      <c r="A444" s="29" t="s">
        <v>94</v>
      </c>
      <c r="B444" s="66"/>
      <c r="C444" s="66"/>
      <c r="D444" s="66"/>
      <c r="E444" s="66"/>
      <c r="F444" s="69"/>
      <c r="G444" s="66"/>
      <c r="H444" s="1"/>
      <c r="I444" s="1"/>
      <c r="J444" s="1"/>
      <c r="K444" s="1"/>
      <c r="L444" s="1"/>
    </row>
    <row r="445" spans="1:13" ht="17.25">
      <c r="A445" s="27" t="s">
        <v>161</v>
      </c>
      <c r="B445" s="83"/>
      <c r="C445" s="83"/>
      <c r="D445" s="83"/>
      <c r="E445" s="83"/>
      <c r="F445" s="76"/>
      <c r="G445" s="83"/>
      <c r="H445" s="1"/>
      <c r="I445" s="1"/>
      <c r="J445" s="1"/>
      <c r="K445" s="1"/>
      <c r="L445" s="1"/>
    </row>
    <row r="446" spans="1:13" ht="17.25">
      <c r="A446" s="22" t="s">
        <v>96</v>
      </c>
      <c r="B446" s="65">
        <v>2506100</v>
      </c>
      <c r="C446" s="65">
        <v>2534500</v>
      </c>
      <c r="D446" s="65">
        <v>2342240</v>
      </c>
      <c r="E446" s="65">
        <v>2588000</v>
      </c>
      <c r="F446" s="62">
        <v>-6.1100000000000002E-2</v>
      </c>
      <c r="G446" s="65">
        <v>2430000</v>
      </c>
      <c r="H446" s="1"/>
      <c r="I446" s="1"/>
      <c r="J446" s="1"/>
      <c r="K446" s="1"/>
      <c r="L446" s="1"/>
    </row>
    <row r="447" spans="1:13" ht="17.25">
      <c r="A447" s="37" t="s">
        <v>98</v>
      </c>
      <c r="B447" s="92">
        <v>2506100</v>
      </c>
      <c r="C447" s="92">
        <v>2534500</v>
      </c>
      <c r="D447" s="92">
        <v>2342240</v>
      </c>
      <c r="E447" s="92">
        <v>2588000</v>
      </c>
      <c r="F447" s="88"/>
      <c r="G447" s="92">
        <v>2430000</v>
      </c>
      <c r="H447" s="1"/>
      <c r="I447" s="1"/>
      <c r="J447" s="1"/>
      <c r="K447" s="1"/>
      <c r="L447" s="1"/>
    </row>
    <row r="448" spans="1:13" ht="17.25">
      <c r="A448" s="32" t="s">
        <v>99</v>
      </c>
      <c r="B448" s="97">
        <v>2506100</v>
      </c>
      <c r="C448" s="97">
        <v>2534500</v>
      </c>
      <c r="D448" s="97">
        <v>2342240</v>
      </c>
      <c r="E448" s="97">
        <v>2588000</v>
      </c>
      <c r="F448" s="98"/>
      <c r="G448" s="97">
        <v>2430000</v>
      </c>
      <c r="H448" s="1"/>
      <c r="I448" s="1"/>
      <c r="J448" s="1"/>
      <c r="K448" s="1"/>
      <c r="L448" s="1"/>
    </row>
    <row r="449" spans="1:13" ht="17.25">
      <c r="A449" s="16" t="s">
        <v>162</v>
      </c>
      <c r="B449" s="93">
        <f>B375+B413+B443+B448</f>
        <v>4901675.43</v>
      </c>
      <c r="C449" s="93">
        <f>C375+C413+C443+C448</f>
        <v>4864375.26</v>
      </c>
      <c r="D449" s="93">
        <f>D375+D413+D443+D448</f>
        <v>4522422.9800000004</v>
      </c>
      <c r="E449" s="93">
        <f>E375+E413+E443+E448</f>
        <v>8831280</v>
      </c>
      <c r="F449" s="73"/>
      <c r="G449" s="93">
        <f>G375+G413+G443+G448</f>
        <v>7470050</v>
      </c>
      <c r="H449" s="1"/>
      <c r="I449" s="1"/>
      <c r="J449" s="1"/>
      <c r="K449" s="1"/>
      <c r="L449" s="1"/>
    </row>
    <row r="450" spans="1:13" ht="17.25">
      <c r="A450" s="23" t="s">
        <v>163</v>
      </c>
      <c r="B450" s="66"/>
      <c r="C450" s="66"/>
      <c r="D450" s="66"/>
      <c r="E450" s="66"/>
      <c r="F450" s="69"/>
      <c r="G450" s="66"/>
      <c r="H450" s="1"/>
      <c r="I450" s="1"/>
      <c r="J450" s="1"/>
      <c r="K450" s="1"/>
      <c r="L450" s="1"/>
    </row>
    <row r="451" spans="1:13" ht="17.25">
      <c r="A451" s="21" t="s">
        <v>33</v>
      </c>
      <c r="B451" s="83"/>
      <c r="C451" s="83"/>
      <c r="D451" s="83"/>
      <c r="E451" s="83"/>
      <c r="F451" s="76"/>
      <c r="G451" s="83"/>
    </row>
    <row r="452" spans="1:13" ht="17.25">
      <c r="A452" s="24" t="s">
        <v>164</v>
      </c>
      <c r="B452" s="65"/>
      <c r="C452" s="65"/>
      <c r="D452" s="65"/>
      <c r="E452" s="65"/>
      <c r="F452" s="68"/>
      <c r="G452" s="65"/>
    </row>
    <row r="453" spans="1:13" ht="17.25">
      <c r="A453" s="27" t="s">
        <v>42</v>
      </c>
      <c r="B453" s="66">
        <v>116302</v>
      </c>
      <c r="C453" s="66">
        <v>105760</v>
      </c>
      <c r="D453" s="66">
        <v>0</v>
      </c>
      <c r="E453" s="66">
        <v>27000</v>
      </c>
      <c r="F453" s="105" t="s">
        <v>485</v>
      </c>
      <c r="G453" s="66">
        <v>26500</v>
      </c>
    </row>
    <row r="454" spans="1:13" ht="17.25">
      <c r="A454" s="17" t="s">
        <v>44</v>
      </c>
      <c r="B454" s="200"/>
      <c r="C454" s="200"/>
      <c r="D454" s="200"/>
      <c r="E454" s="200"/>
      <c r="F454" s="200"/>
      <c r="G454" s="200"/>
    </row>
    <row r="455" spans="1:13" ht="17.25">
      <c r="A455" s="18" t="s">
        <v>308</v>
      </c>
      <c r="B455" s="202"/>
      <c r="C455" s="202"/>
      <c r="D455" s="202"/>
      <c r="E455" s="202"/>
      <c r="F455" s="202"/>
      <c r="G455" s="202"/>
    </row>
    <row r="456" spans="1:13" ht="17.25">
      <c r="A456" s="24" t="s">
        <v>165</v>
      </c>
      <c r="B456" s="66">
        <v>0</v>
      </c>
      <c r="C456" s="66">
        <v>0</v>
      </c>
      <c r="D456" s="66">
        <v>98540</v>
      </c>
      <c r="E456" s="66">
        <v>0</v>
      </c>
      <c r="F456" s="82"/>
      <c r="G456" s="66">
        <v>0</v>
      </c>
    </row>
    <row r="457" spans="1:13" s="7" customFormat="1" ht="17.25">
      <c r="A457" s="22" t="s">
        <v>166</v>
      </c>
      <c r="B457" s="65">
        <v>0</v>
      </c>
      <c r="C457" s="65">
        <v>0</v>
      </c>
      <c r="D457" s="65">
        <v>0</v>
      </c>
      <c r="E457" s="65">
        <v>150000</v>
      </c>
      <c r="F457" s="59">
        <v>-1</v>
      </c>
      <c r="G457" s="65">
        <v>0</v>
      </c>
      <c r="H457" s="1"/>
      <c r="I457" s="1"/>
      <c r="J457" s="1"/>
      <c r="K457" s="1"/>
      <c r="L457" s="1"/>
      <c r="M457" s="1"/>
    </row>
    <row r="458" spans="1:13" s="7" customFormat="1" ht="17.25">
      <c r="A458" s="22" t="s">
        <v>486</v>
      </c>
      <c r="B458" s="83">
        <v>0</v>
      </c>
      <c r="C458" s="83">
        <v>0</v>
      </c>
      <c r="D458" s="83">
        <v>0</v>
      </c>
      <c r="E458" s="83">
        <v>0</v>
      </c>
      <c r="F458" s="116">
        <v>1</v>
      </c>
      <c r="G458" s="83">
        <v>90000</v>
      </c>
      <c r="H458" s="1"/>
      <c r="I458" s="1"/>
      <c r="J458" s="1"/>
      <c r="K458" s="1"/>
      <c r="L458" s="1"/>
      <c r="M458" s="1"/>
    </row>
    <row r="459" spans="1:13" s="7" customFormat="1" ht="17.25">
      <c r="A459" s="32" t="s">
        <v>50</v>
      </c>
      <c r="B459" s="97">
        <v>116302</v>
      </c>
      <c r="C459" s="97">
        <v>105760</v>
      </c>
      <c r="D459" s="97">
        <v>98540</v>
      </c>
      <c r="E459" s="97">
        <v>177000</v>
      </c>
      <c r="F459" s="98"/>
      <c r="G459" s="97">
        <f>G453+G457+G458</f>
        <v>116500</v>
      </c>
      <c r="H459" s="1"/>
      <c r="I459" s="1"/>
      <c r="J459" s="1"/>
      <c r="K459" s="1"/>
      <c r="L459" s="1"/>
      <c r="M459" s="1"/>
    </row>
    <row r="460" spans="1:13" s="7" customFormat="1" ht="17.25">
      <c r="A460" s="47"/>
      <c r="B460" s="45"/>
      <c r="C460" s="45"/>
      <c r="D460" s="45"/>
      <c r="E460" s="45"/>
      <c r="F460" s="45"/>
      <c r="G460" s="45"/>
      <c r="H460" s="1"/>
      <c r="I460" s="1"/>
      <c r="J460" s="1"/>
      <c r="K460" s="1"/>
      <c r="L460" s="1"/>
      <c r="M460" s="1"/>
    </row>
    <row r="461" spans="1:13" s="7" customFormat="1" ht="17.25">
      <c r="A461" s="25"/>
      <c r="B461" s="42"/>
      <c r="C461" s="42"/>
      <c r="D461" s="42"/>
      <c r="E461" s="42"/>
      <c r="F461" s="42"/>
      <c r="G461" s="42"/>
      <c r="H461" s="1"/>
      <c r="I461" s="1"/>
      <c r="J461" s="1"/>
      <c r="K461" s="1"/>
      <c r="L461" s="1"/>
      <c r="M461" s="1"/>
    </row>
    <row r="462" spans="1:13" s="7" customFormat="1" ht="17.25">
      <c r="A462" s="25"/>
      <c r="B462" s="42"/>
      <c r="C462" s="42"/>
      <c r="D462" s="42"/>
      <c r="E462" s="42"/>
      <c r="F462" s="42"/>
      <c r="G462" s="42"/>
      <c r="H462" s="1"/>
      <c r="I462" s="1"/>
      <c r="J462" s="1"/>
      <c r="K462" s="1"/>
      <c r="L462" s="1"/>
      <c r="M462" s="1"/>
    </row>
    <row r="463" spans="1:13" s="7" customFormat="1" ht="17.25">
      <c r="A463" s="25"/>
      <c r="B463" s="42"/>
      <c r="C463" s="42"/>
      <c r="D463" s="42"/>
      <c r="E463" s="42"/>
      <c r="F463" s="42"/>
      <c r="G463" s="42"/>
      <c r="H463" s="1"/>
      <c r="I463" s="1"/>
      <c r="J463" s="1"/>
      <c r="K463" s="1"/>
      <c r="L463" s="1"/>
      <c r="M463" s="1"/>
    </row>
    <row r="464" spans="1:13" s="34" customFormat="1" ht="17.25">
      <c r="A464" s="199"/>
      <c r="B464" s="199" t="s">
        <v>3</v>
      </c>
      <c r="C464" s="199"/>
      <c r="D464" s="199"/>
      <c r="E464" s="199" t="s">
        <v>4</v>
      </c>
      <c r="F464" s="199"/>
      <c r="G464" s="199"/>
      <c r="H464" s="33"/>
      <c r="I464" s="33"/>
      <c r="J464" s="33"/>
      <c r="K464" s="33"/>
      <c r="L464" s="33"/>
      <c r="M464" s="33"/>
    </row>
    <row r="465" spans="1:13" s="34" customFormat="1" ht="17.25">
      <c r="A465" s="199"/>
      <c r="B465" s="159" t="s">
        <v>5</v>
      </c>
      <c r="C465" s="159" t="s">
        <v>6</v>
      </c>
      <c r="D465" s="159" t="s">
        <v>7</v>
      </c>
      <c r="E465" s="159" t="s">
        <v>9</v>
      </c>
      <c r="F465" s="159" t="s">
        <v>8</v>
      </c>
      <c r="G465" s="159" t="s">
        <v>417</v>
      </c>
      <c r="H465" s="33"/>
      <c r="I465" s="33"/>
      <c r="J465" s="33"/>
      <c r="K465" s="33"/>
      <c r="L465" s="33"/>
      <c r="M465" s="33"/>
    </row>
    <row r="466" spans="1:13" s="7" customFormat="1" ht="17.25">
      <c r="A466" s="23" t="s">
        <v>51</v>
      </c>
      <c r="B466" s="19"/>
      <c r="C466" s="19"/>
      <c r="D466" s="19"/>
      <c r="E466" s="155"/>
      <c r="F466" s="18"/>
      <c r="G466" s="18"/>
      <c r="H466" s="1"/>
      <c r="I466" s="1"/>
      <c r="J466" s="1"/>
      <c r="K466" s="1"/>
      <c r="L466" s="1"/>
      <c r="M466" s="1"/>
    </row>
    <row r="467" spans="1:13" s="7" customFormat="1" ht="17.25">
      <c r="A467" s="27" t="s">
        <v>59</v>
      </c>
      <c r="B467" s="65">
        <v>131020</v>
      </c>
      <c r="C467" s="65">
        <v>116190</v>
      </c>
      <c r="D467" s="65">
        <v>115790</v>
      </c>
      <c r="E467" s="153">
        <v>140000</v>
      </c>
      <c r="F467" s="127" t="s">
        <v>322</v>
      </c>
      <c r="G467" s="65">
        <v>140000</v>
      </c>
      <c r="H467" s="1"/>
      <c r="I467" s="1"/>
      <c r="J467" s="1"/>
      <c r="K467" s="1"/>
      <c r="L467" s="1"/>
      <c r="M467" s="1"/>
    </row>
    <row r="468" spans="1:13" s="7" customFormat="1" ht="17.25">
      <c r="A468" s="16" t="s">
        <v>60</v>
      </c>
      <c r="B468" s="93">
        <v>131020</v>
      </c>
      <c r="C468" s="93">
        <v>116190</v>
      </c>
      <c r="D468" s="93">
        <v>115790</v>
      </c>
      <c r="E468" s="156">
        <v>140000</v>
      </c>
      <c r="F468" s="88"/>
      <c r="G468" s="92">
        <v>140000</v>
      </c>
      <c r="H468" s="1"/>
      <c r="I468" s="1"/>
      <c r="J468" s="1"/>
      <c r="K468" s="1"/>
      <c r="L468" s="1"/>
      <c r="M468" s="1"/>
    </row>
    <row r="469" spans="1:13" s="7" customFormat="1" ht="17.25">
      <c r="A469" s="15" t="s">
        <v>68</v>
      </c>
      <c r="B469" s="93">
        <f>B459+B468</f>
        <v>247322</v>
      </c>
      <c r="C469" s="93">
        <f>C459+C468</f>
        <v>221950</v>
      </c>
      <c r="D469" s="93">
        <f>D459+D468</f>
        <v>214330</v>
      </c>
      <c r="E469" s="157">
        <f>E459+E468</f>
        <v>317000</v>
      </c>
      <c r="F469" s="73"/>
      <c r="G469" s="93">
        <f>G459+G468</f>
        <v>256500</v>
      </c>
      <c r="H469" s="1"/>
      <c r="I469" s="1"/>
      <c r="J469" s="1"/>
      <c r="K469" s="1"/>
      <c r="L469" s="1"/>
      <c r="M469" s="1"/>
    </row>
    <row r="470" spans="1:13" s="7" customFormat="1" ht="17.25">
      <c r="A470" s="28" t="s">
        <v>167</v>
      </c>
      <c r="B470" s="93">
        <v>247322</v>
      </c>
      <c r="C470" s="93">
        <v>221950</v>
      </c>
      <c r="D470" s="93">
        <f>D469</f>
        <v>214330</v>
      </c>
      <c r="E470" s="157">
        <v>317000</v>
      </c>
      <c r="F470" s="73"/>
      <c r="G470" s="93">
        <f>G469</f>
        <v>256500</v>
      </c>
      <c r="H470" s="1"/>
      <c r="I470" s="1"/>
      <c r="J470" s="1"/>
      <c r="K470" s="1"/>
      <c r="L470" s="1"/>
      <c r="M470" s="1"/>
    </row>
    <row r="471" spans="1:13" s="7" customFormat="1" ht="17.25">
      <c r="A471" s="16" t="s">
        <v>168</v>
      </c>
      <c r="B471" s="93">
        <f>B359+B449+B470</f>
        <v>7899252.129999999</v>
      </c>
      <c r="C471" s="93">
        <f>C359+C449+C470</f>
        <v>6813110.5399999991</v>
      </c>
      <c r="D471" s="93">
        <f>D359+D449+D470</f>
        <v>6267420.9800000004</v>
      </c>
      <c r="E471" s="156">
        <f>E359+E449+E470</f>
        <v>10475420</v>
      </c>
      <c r="F471" s="88"/>
      <c r="G471" s="92">
        <f>G359+G449+G470</f>
        <v>9041700</v>
      </c>
      <c r="H471" s="1"/>
      <c r="I471" s="1"/>
      <c r="J471" s="1"/>
      <c r="K471" s="1"/>
      <c r="L471" s="1"/>
      <c r="M471" s="1"/>
    </row>
    <row r="472" spans="1:13" s="7" customFormat="1" ht="17.25">
      <c r="A472" s="21" t="s">
        <v>169</v>
      </c>
      <c r="B472" s="56"/>
      <c r="C472" s="56"/>
      <c r="D472" s="56"/>
      <c r="E472" s="54"/>
      <c r="F472" s="68"/>
      <c r="G472" s="54"/>
      <c r="H472" s="1"/>
      <c r="I472" s="1"/>
      <c r="J472" s="1"/>
      <c r="K472" s="1"/>
      <c r="L472" s="1"/>
      <c r="M472" s="1"/>
    </row>
    <row r="473" spans="1:13" s="7" customFormat="1" ht="17.25">
      <c r="A473" s="21" t="s">
        <v>170</v>
      </c>
      <c r="B473" s="65"/>
      <c r="C473" s="65"/>
      <c r="D473" s="65"/>
      <c r="E473" s="158"/>
      <c r="F473" s="76"/>
      <c r="G473" s="83"/>
      <c r="H473" s="1"/>
      <c r="I473" s="1"/>
      <c r="J473" s="1"/>
      <c r="K473" s="1"/>
      <c r="L473" s="1"/>
      <c r="M473" s="1"/>
    </row>
    <row r="474" spans="1:13" s="7" customFormat="1" ht="17.25">
      <c r="A474" s="23" t="s">
        <v>105</v>
      </c>
      <c r="B474" s="65"/>
      <c r="C474" s="65"/>
      <c r="D474" s="65"/>
      <c r="E474" s="153"/>
      <c r="F474" s="68"/>
      <c r="G474" s="65"/>
      <c r="H474" s="1"/>
      <c r="I474" s="1"/>
      <c r="J474" s="1"/>
      <c r="K474" s="1"/>
      <c r="L474" s="1"/>
      <c r="M474" s="1"/>
    </row>
    <row r="475" spans="1:13" s="7" customFormat="1" ht="17.25">
      <c r="A475" s="21" t="s">
        <v>24</v>
      </c>
      <c r="B475" s="65"/>
      <c r="C475" s="65"/>
      <c r="D475" s="65"/>
      <c r="E475" s="154"/>
      <c r="F475" s="69"/>
      <c r="G475" s="66"/>
      <c r="H475" s="1"/>
      <c r="I475" s="1"/>
      <c r="J475" s="1"/>
      <c r="K475" s="1"/>
      <c r="L475" s="1"/>
      <c r="M475" s="1"/>
    </row>
    <row r="476" spans="1:13" s="7" customFormat="1" ht="17.25">
      <c r="A476" s="24" t="s">
        <v>25</v>
      </c>
      <c r="B476" s="66">
        <v>358366.8</v>
      </c>
      <c r="C476" s="66">
        <v>381180</v>
      </c>
      <c r="D476" s="66">
        <f>589190-6000</f>
        <v>583190</v>
      </c>
      <c r="E476" s="66">
        <v>683880</v>
      </c>
      <c r="F476" s="140" t="s">
        <v>487</v>
      </c>
      <c r="G476" s="66">
        <v>718320</v>
      </c>
      <c r="H476" s="1"/>
      <c r="I476" s="1"/>
      <c r="J476" s="1"/>
      <c r="K476" s="1"/>
      <c r="L476" s="1"/>
    </row>
    <row r="477" spans="1:13" s="7" customFormat="1" ht="17.25">
      <c r="A477" s="22" t="s">
        <v>26</v>
      </c>
      <c r="B477" s="56">
        <v>0</v>
      </c>
      <c r="C477" s="56">
        <v>0</v>
      </c>
      <c r="D477" s="56">
        <v>27500</v>
      </c>
      <c r="E477" s="56">
        <v>42000</v>
      </c>
      <c r="F477" s="62">
        <v>0</v>
      </c>
      <c r="G477" s="56">
        <v>42000</v>
      </c>
      <c r="H477" s="1"/>
      <c r="I477" s="1"/>
      <c r="J477" s="1"/>
      <c r="K477" s="1"/>
      <c r="L477" s="1"/>
    </row>
    <row r="478" spans="1:13" s="7" customFormat="1" ht="17.25">
      <c r="A478" s="22" t="s">
        <v>28</v>
      </c>
      <c r="B478" s="57">
        <v>108000</v>
      </c>
      <c r="C478" s="57">
        <v>81000</v>
      </c>
      <c r="D478" s="57">
        <v>270000</v>
      </c>
      <c r="E478" s="57">
        <v>324000</v>
      </c>
      <c r="F478" s="64">
        <v>0</v>
      </c>
      <c r="G478" s="57">
        <v>324000</v>
      </c>
      <c r="H478" s="1"/>
      <c r="I478" s="1"/>
      <c r="J478" s="1"/>
      <c r="K478" s="1"/>
      <c r="L478" s="1"/>
    </row>
    <row r="479" spans="1:13" s="7" customFormat="1" ht="17.25">
      <c r="A479" s="22" t="s">
        <v>106</v>
      </c>
      <c r="B479" s="65">
        <v>0</v>
      </c>
      <c r="C479" s="65">
        <v>0</v>
      </c>
      <c r="D479" s="65">
        <v>36000</v>
      </c>
      <c r="E479" s="65">
        <v>36000</v>
      </c>
      <c r="F479" s="59">
        <v>0</v>
      </c>
      <c r="G479" s="65">
        <v>36000</v>
      </c>
      <c r="H479" s="1"/>
      <c r="I479" s="1"/>
      <c r="J479" s="1"/>
      <c r="K479" s="1"/>
      <c r="L479" s="1"/>
    </row>
    <row r="480" spans="1:13" s="7" customFormat="1" ht="17.25">
      <c r="A480" s="15" t="s">
        <v>107</v>
      </c>
      <c r="B480" s="92">
        <f>SUM(B476:B479)</f>
        <v>466366.8</v>
      </c>
      <c r="C480" s="92">
        <f>SUM(C476:C479)</f>
        <v>462180</v>
      </c>
      <c r="D480" s="92">
        <f>SUM(D476:D479)</f>
        <v>916690</v>
      </c>
      <c r="E480" s="92">
        <f>SUM(E476:E479)</f>
        <v>1085880</v>
      </c>
      <c r="F480" s="88"/>
      <c r="G480" s="92">
        <f>SUM(G476:G479)</f>
        <v>1120320</v>
      </c>
      <c r="H480" s="1"/>
      <c r="I480" s="1"/>
      <c r="J480" s="1"/>
      <c r="K480" s="1"/>
      <c r="L480" s="1"/>
    </row>
    <row r="481" spans="1:13" s="7" customFormat="1" ht="17.25">
      <c r="A481" s="16" t="s">
        <v>108</v>
      </c>
      <c r="B481" s="93">
        <v>466366.8</v>
      </c>
      <c r="C481" s="93">
        <v>462180</v>
      </c>
      <c r="D481" s="93">
        <f>D480</f>
        <v>916690</v>
      </c>
      <c r="E481" s="93">
        <v>1085880</v>
      </c>
      <c r="F481" s="73"/>
      <c r="G481" s="93">
        <f>G480</f>
        <v>1120320</v>
      </c>
      <c r="H481" s="1"/>
      <c r="I481" s="1"/>
      <c r="J481" s="1"/>
      <c r="K481" s="1"/>
      <c r="L481" s="1"/>
    </row>
    <row r="482" spans="1:13" s="7" customFormat="1" ht="17.25">
      <c r="A482" s="29" t="s">
        <v>33</v>
      </c>
      <c r="B482" s="66"/>
      <c r="C482" s="66"/>
      <c r="D482" s="66"/>
      <c r="E482" s="66"/>
      <c r="F482" s="69"/>
      <c r="G482" s="66"/>
      <c r="H482" s="1"/>
      <c r="I482" s="1"/>
      <c r="J482" s="1"/>
      <c r="K482" s="1"/>
      <c r="L482" s="1"/>
    </row>
    <row r="483" spans="1:13" ht="17.25">
      <c r="A483" s="30" t="s">
        <v>34</v>
      </c>
      <c r="B483" s="83"/>
      <c r="C483" s="83"/>
      <c r="D483" s="83"/>
      <c r="E483" s="83"/>
      <c r="F483" s="76"/>
      <c r="G483" s="83"/>
      <c r="H483" s="1"/>
      <c r="I483" s="1"/>
      <c r="J483" s="1"/>
      <c r="K483" s="1"/>
      <c r="L483" s="1"/>
    </row>
    <row r="484" spans="1:13" ht="17.25">
      <c r="A484" s="27" t="s">
        <v>301</v>
      </c>
      <c r="B484" s="200">
        <v>204224</v>
      </c>
      <c r="C484" s="200">
        <v>79770</v>
      </c>
      <c r="D484" s="200">
        <v>137375</v>
      </c>
      <c r="E484" s="200">
        <v>48000</v>
      </c>
      <c r="F484" s="207" t="s">
        <v>488</v>
      </c>
      <c r="G484" s="200">
        <v>43430</v>
      </c>
      <c r="H484" s="1"/>
      <c r="I484" s="1"/>
      <c r="J484" s="1"/>
      <c r="K484" s="1"/>
      <c r="L484" s="1"/>
    </row>
    <row r="485" spans="1:13" ht="17.25">
      <c r="A485" s="24" t="s">
        <v>302</v>
      </c>
      <c r="B485" s="202"/>
      <c r="C485" s="202"/>
      <c r="D485" s="202"/>
      <c r="E485" s="202"/>
      <c r="F485" s="202"/>
      <c r="G485" s="202"/>
      <c r="H485" s="1"/>
      <c r="I485" s="1"/>
      <c r="J485" s="1"/>
      <c r="K485" s="1"/>
      <c r="L485" s="1"/>
    </row>
    <row r="486" spans="1:13" ht="17.25">
      <c r="A486" s="26" t="s">
        <v>109</v>
      </c>
      <c r="B486" s="83">
        <v>0</v>
      </c>
      <c r="C486" s="83">
        <v>0</v>
      </c>
      <c r="D486" s="83">
        <v>0</v>
      </c>
      <c r="E486" s="83">
        <v>10000</v>
      </c>
      <c r="F486" s="128" t="s">
        <v>451</v>
      </c>
      <c r="G486" s="83">
        <v>2000</v>
      </c>
      <c r="H486" s="1"/>
      <c r="I486" s="1"/>
      <c r="J486" s="1"/>
      <c r="K486" s="1"/>
      <c r="L486" s="1"/>
    </row>
    <row r="487" spans="1:13" ht="17.25">
      <c r="A487" s="32" t="s">
        <v>40</v>
      </c>
      <c r="B487" s="83">
        <f>SUM(B484:B486)</f>
        <v>204224</v>
      </c>
      <c r="C487" s="83">
        <f>SUM(C484:C486)</f>
        <v>79770</v>
      </c>
      <c r="D487" s="83">
        <f>SUM(D484:D486)</f>
        <v>137375</v>
      </c>
      <c r="E487" s="83">
        <f>SUM(E484:E486)</f>
        <v>58000</v>
      </c>
      <c r="F487" s="76"/>
      <c r="G487" s="83">
        <f>SUM(G484:G486)</f>
        <v>45430</v>
      </c>
      <c r="H487" s="1"/>
      <c r="I487" s="1"/>
      <c r="J487" s="1"/>
      <c r="K487" s="1"/>
      <c r="L487" s="1"/>
    </row>
    <row r="488" spans="1:13" ht="17.25">
      <c r="A488" s="47"/>
      <c r="B488" s="45"/>
      <c r="C488" s="45"/>
      <c r="D488" s="45"/>
      <c r="E488" s="45"/>
      <c r="F488" s="45"/>
      <c r="G488" s="45"/>
      <c r="H488" s="1"/>
      <c r="I488" s="1"/>
      <c r="J488" s="1"/>
      <c r="K488" s="1"/>
      <c r="L488" s="1"/>
    </row>
    <row r="489" spans="1:13" ht="17.25">
      <c r="A489" s="25"/>
      <c r="B489" s="42"/>
      <c r="C489" s="42"/>
      <c r="D489" s="42"/>
      <c r="E489" s="42"/>
      <c r="F489" s="42"/>
      <c r="G489" s="42"/>
      <c r="H489" s="1"/>
      <c r="I489" s="1"/>
      <c r="J489" s="1"/>
      <c r="K489" s="1"/>
      <c r="L489" s="1"/>
    </row>
    <row r="490" spans="1:13" ht="17.25">
      <c r="A490" s="25"/>
      <c r="B490" s="42"/>
      <c r="C490" s="42"/>
      <c r="D490" s="42"/>
      <c r="E490" s="42"/>
      <c r="F490" s="42"/>
      <c r="G490" s="42"/>
      <c r="H490" s="1"/>
      <c r="I490" s="1"/>
      <c r="J490" s="1"/>
      <c r="K490" s="1"/>
      <c r="L490" s="1"/>
    </row>
    <row r="491" spans="1:13" ht="17.25">
      <c r="A491" s="25"/>
      <c r="B491" s="42"/>
      <c r="C491" s="42"/>
      <c r="D491" s="42"/>
      <c r="E491" s="42"/>
      <c r="F491" s="42"/>
      <c r="G491" s="42"/>
      <c r="H491" s="1"/>
      <c r="I491" s="1"/>
      <c r="J491" s="1"/>
      <c r="K491" s="1"/>
      <c r="L491" s="1"/>
    </row>
    <row r="492" spans="1:13" ht="17.25">
      <c r="A492" s="25"/>
      <c r="B492" s="42"/>
      <c r="C492" s="42"/>
      <c r="D492" s="42"/>
      <c r="E492" s="42"/>
      <c r="F492" s="42"/>
      <c r="G492" s="42"/>
      <c r="H492" s="1"/>
      <c r="I492" s="1"/>
      <c r="J492" s="1"/>
      <c r="K492" s="1"/>
      <c r="L492" s="1"/>
    </row>
    <row r="493" spans="1:13" ht="17.25">
      <c r="A493" s="25"/>
      <c r="B493" s="42"/>
      <c r="C493" s="42"/>
      <c r="D493" s="42"/>
      <c r="E493" s="42"/>
      <c r="F493" s="42"/>
      <c r="G493" s="42"/>
      <c r="H493" s="1"/>
      <c r="I493" s="1"/>
      <c r="J493" s="1"/>
      <c r="K493" s="1"/>
      <c r="L493" s="1"/>
    </row>
    <row r="494" spans="1:13" ht="17.25">
      <c r="A494" s="25"/>
      <c r="B494" s="42"/>
      <c r="C494" s="42"/>
      <c r="D494" s="42"/>
      <c r="E494" s="42"/>
      <c r="F494" s="42"/>
      <c r="G494" s="42"/>
      <c r="H494" s="1"/>
      <c r="I494" s="1"/>
      <c r="J494" s="1"/>
      <c r="K494" s="1"/>
      <c r="L494" s="1"/>
    </row>
    <row r="495" spans="1:13" s="34" customFormat="1" ht="17.25">
      <c r="A495" s="212"/>
      <c r="B495" s="212" t="s">
        <v>3</v>
      </c>
      <c r="C495" s="212"/>
      <c r="D495" s="212"/>
      <c r="E495" s="212" t="s">
        <v>4</v>
      </c>
      <c r="F495" s="212"/>
      <c r="G495" s="212"/>
      <c r="H495" s="33"/>
      <c r="I495" s="33"/>
      <c r="J495" s="33"/>
      <c r="K495" s="33"/>
      <c r="L495" s="33"/>
      <c r="M495" s="33"/>
    </row>
    <row r="496" spans="1:13" s="34" customFormat="1" ht="17.25">
      <c r="A496" s="199"/>
      <c r="B496" s="159" t="s">
        <v>5</v>
      </c>
      <c r="C496" s="159" t="s">
        <v>6</v>
      </c>
      <c r="D496" s="159" t="s">
        <v>7</v>
      </c>
      <c r="E496" s="159" t="s">
        <v>9</v>
      </c>
      <c r="F496" s="159" t="s">
        <v>8</v>
      </c>
      <c r="G496" s="159" t="s">
        <v>9</v>
      </c>
      <c r="H496" s="33"/>
      <c r="I496" s="33"/>
      <c r="J496" s="33"/>
      <c r="K496" s="33"/>
      <c r="L496" s="33"/>
      <c r="M496" s="33"/>
    </row>
    <row r="497" spans="1:13" ht="17.25">
      <c r="A497" s="23" t="s">
        <v>41</v>
      </c>
      <c r="B497" s="18"/>
      <c r="C497" s="18"/>
      <c r="D497" s="18"/>
      <c r="E497" s="18"/>
      <c r="F497" s="18"/>
      <c r="G497" s="18"/>
      <c r="H497" s="1"/>
      <c r="I497" s="1"/>
      <c r="J497" s="1"/>
      <c r="K497" s="1"/>
      <c r="L497" s="1"/>
    </row>
    <row r="498" spans="1:13" ht="17.25">
      <c r="A498" s="27" t="s">
        <v>42</v>
      </c>
      <c r="B498" s="83">
        <v>58388</v>
      </c>
      <c r="C498" s="83">
        <v>43000</v>
      </c>
      <c r="D498" s="83">
        <v>4764</v>
      </c>
      <c r="E498" s="83">
        <v>10000</v>
      </c>
      <c r="F498" s="128" t="s">
        <v>489</v>
      </c>
      <c r="G498" s="83">
        <v>202000</v>
      </c>
    </row>
    <row r="499" spans="1:13" ht="17.25">
      <c r="A499" s="27" t="s">
        <v>44</v>
      </c>
      <c r="B499" s="200"/>
      <c r="C499" s="200"/>
      <c r="D499" s="200"/>
      <c r="E499" s="200"/>
      <c r="F499" s="200"/>
      <c r="G499" s="200"/>
    </row>
    <row r="500" spans="1:13" ht="17.25">
      <c r="A500" s="24" t="s">
        <v>308</v>
      </c>
      <c r="B500" s="202"/>
      <c r="C500" s="202"/>
      <c r="D500" s="202"/>
      <c r="E500" s="202"/>
      <c r="F500" s="202"/>
      <c r="G500" s="202"/>
    </row>
    <row r="501" spans="1:13" ht="17.25">
      <c r="A501" s="24" t="s">
        <v>46</v>
      </c>
      <c r="B501" s="66">
        <v>5000</v>
      </c>
      <c r="C501" s="66">
        <v>14500</v>
      </c>
      <c r="D501" s="66">
        <v>2050</v>
      </c>
      <c r="E501" s="66">
        <v>30000</v>
      </c>
      <c r="F501" s="105" t="s">
        <v>318</v>
      </c>
      <c r="G501" s="66">
        <v>0</v>
      </c>
    </row>
    <row r="502" spans="1:13" ht="17.25">
      <c r="A502" s="24" t="s">
        <v>46</v>
      </c>
      <c r="B502" s="66">
        <v>0</v>
      </c>
      <c r="C502" s="66">
        <v>0</v>
      </c>
      <c r="D502" s="66">
        <v>0</v>
      </c>
      <c r="E502" s="66">
        <v>0</v>
      </c>
      <c r="F502" s="122">
        <v>1</v>
      </c>
      <c r="G502" s="66">
        <v>30000</v>
      </c>
    </row>
    <row r="503" spans="1:13" ht="17.25">
      <c r="A503" s="19" t="s">
        <v>135</v>
      </c>
      <c r="B503" s="65">
        <v>15025</v>
      </c>
      <c r="C503" s="65">
        <v>29939</v>
      </c>
      <c r="D503" s="65">
        <v>15455</v>
      </c>
      <c r="E503" s="65">
        <v>30000</v>
      </c>
      <c r="F503" s="59">
        <v>0</v>
      </c>
      <c r="G503" s="65">
        <v>30000</v>
      </c>
    </row>
    <row r="504" spans="1:13" ht="17.25">
      <c r="A504" s="16" t="s">
        <v>50</v>
      </c>
      <c r="B504" s="92">
        <f>SUM(B498:B503)</f>
        <v>78413</v>
      </c>
      <c r="C504" s="92">
        <f>SUM(C498:C503)</f>
        <v>87439</v>
      </c>
      <c r="D504" s="92">
        <f>SUM(D498:D503)</f>
        <v>22269</v>
      </c>
      <c r="E504" s="92">
        <f>SUM(E498:E503)</f>
        <v>70000</v>
      </c>
      <c r="F504" s="88"/>
      <c r="G504" s="92">
        <f>SUM(G498:G503)</f>
        <v>262000</v>
      </c>
    </row>
    <row r="505" spans="1:13" s="7" customFormat="1" ht="17.25">
      <c r="A505" s="21" t="s">
        <v>51</v>
      </c>
      <c r="B505" s="65"/>
      <c r="C505" s="65"/>
      <c r="D505" s="65"/>
      <c r="E505" s="65"/>
      <c r="F505" s="68"/>
      <c r="G505" s="65"/>
      <c r="H505" s="1"/>
      <c r="I505" s="1"/>
      <c r="J505" s="1"/>
      <c r="K505" s="1"/>
      <c r="L505" s="1"/>
      <c r="M505" s="1"/>
    </row>
    <row r="506" spans="1:13" s="7" customFormat="1" ht="17.25">
      <c r="A506" s="22" t="s">
        <v>52</v>
      </c>
      <c r="B506" s="65">
        <v>27500</v>
      </c>
      <c r="C506" s="65">
        <v>206510</v>
      </c>
      <c r="D506" s="65">
        <v>21181</v>
      </c>
      <c r="E506" s="65">
        <v>30000</v>
      </c>
      <c r="F506" s="75" t="s">
        <v>322</v>
      </c>
      <c r="G506" s="65">
        <v>30000</v>
      </c>
      <c r="H506" s="1"/>
      <c r="I506" s="1"/>
      <c r="J506" s="1"/>
      <c r="K506" s="1"/>
      <c r="L506" s="1"/>
      <c r="M506" s="1"/>
    </row>
    <row r="507" spans="1:13" s="7" customFormat="1" ht="17.25">
      <c r="A507" s="24" t="s">
        <v>56</v>
      </c>
      <c r="B507" s="66">
        <v>17900</v>
      </c>
      <c r="C507" s="66">
        <v>29000</v>
      </c>
      <c r="D507" s="66">
        <v>47015</v>
      </c>
      <c r="E507" s="66">
        <v>30000</v>
      </c>
      <c r="F507" s="130" t="s">
        <v>477</v>
      </c>
      <c r="G507" s="66">
        <v>35000</v>
      </c>
      <c r="H507" s="1"/>
      <c r="I507" s="1"/>
      <c r="J507" s="1"/>
      <c r="K507" s="1"/>
      <c r="L507" s="1"/>
      <c r="M507" s="1"/>
    </row>
    <row r="508" spans="1:13" s="7" customFormat="1" ht="17.25">
      <c r="A508" s="27" t="s">
        <v>171</v>
      </c>
      <c r="B508" s="65">
        <v>79000</v>
      </c>
      <c r="C508" s="65">
        <v>129000</v>
      </c>
      <c r="D508" s="65">
        <v>7301</v>
      </c>
      <c r="E508" s="65">
        <v>20000</v>
      </c>
      <c r="F508" s="75" t="s">
        <v>330</v>
      </c>
      <c r="G508" s="65">
        <v>15000</v>
      </c>
      <c r="H508" s="1"/>
      <c r="I508" s="1"/>
      <c r="J508" s="1"/>
      <c r="K508" s="1"/>
      <c r="L508" s="1"/>
      <c r="M508" s="1"/>
    </row>
    <row r="509" spans="1:13" s="7" customFormat="1" ht="17.25">
      <c r="A509" s="27" t="s">
        <v>490</v>
      </c>
      <c r="B509" s="66">
        <v>0</v>
      </c>
      <c r="C509" s="66">
        <v>0</v>
      </c>
      <c r="D509" s="66">
        <v>0</v>
      </c>
      <c r="E509" s="66">
        <v>9200</v>
      </c>
      <c r="F509" s="130" t="s">
        <v>318</v>
      </c>
      <c r="G509" s="66">
        <v>0</v>
      </c>
      <c r="H509" s="1"/>
      <c r="I509" s="1"/>
      <c r="J509" s="1"/>
      <c r="K509" s="1"/>
      <c r="L509" s="1"/>
      <c r="M509" s="1"/>
    </row>
    <row r="510" spans="1:13" s="7" customFormat="1" ht="17.25">
      <c r="A510" s="22" t="s">
        <v>58</v>
      </c>
      <c r="B510" s="66">
        <v>98621</v>
      </c>
      <c r="C510" s="66">
        <v>0</v>
      </c>
      <c r="D510" s="66">
        <v>28160</v>
      </c>
      <c r="E510" s="66">
        <v>40000</v>
      </c>
      <c r="F510" s="74">
        <v>0</v>
      </c>
      <c r="G510" s="66">
        <v>40000</v>
      </c>
      <c r="H510" s="1"/>
      <c r="I510" s="1"/>
      <c r="J510" s="1"/>
      <c r="K510" s="1"/>
      <c r="L510" s="1"/>
      <c r="M510" s="1"/>
    </row>
    <row r="511" spans="1:13" s="7" customFormat="1" ht="17.25">
      <c r="A511" s="15" t="s">
        <v>60</v>
      </c>
      <c r="B511" s="93">
        <f>SUM(B506:B510)</f>
        <v>223021</v>
      </c>
      <c r="C511" s="93">
        <f>SUM(C506:C510)</f>
        <v>364510</v>
      </c>
      <c r="D511" s="93">
        <f>SUM(D506:D510)</f>
        <v>103657</v>
      </c>
      <c r="E511" s="93">
        <f>SUM(E506:E510)</f>
        <v>129200</v>
      </c>
      <c r="F511" s="73"/>
      <c r="G511" s="93">
        <f>SUM(G506:G510)</f>
        <v>120000</v>
      </c>
      <c r="H511" s="1"/>
      <c r="I511" s="1"/>
      <c r="J511" s="1"/>
      <c r="K511" s="1"/>
      <c r="L511" s="1"/>
      <c r="M511" s="1"/>
    </row>
    <row r="512" spans="1:13" s="7" customFormat="1" ht="17.25">
      <c r="A512" s="28" t="s">
        <v>68</v>
      </c>
      <c r="B512" s="93">
        <f>B487+B504+B511</f>
        <v>505658</v>
      </c>
      <c r="C512" s="93">
        <f>C487+C504+C511</f>
        <v>531719</v>
      </c>
      <c r="D512" s="93">
        <f>D487+D504+D511</f>
        <v>263301</v>
      </c>
      <c r="E512" s="93">
        <f>E487+E504+E511</f>
        <v>257200</v>
      </c>
      <c r="F512" s="73"/>
      <c r="G512" s="93">
        <f>G487+G504+G511</f>
        <v>427430</v>
      </c>
      <c r="H512" s="1"/>
      <c r="I512" s="1"/>
      <c r="J512" s="1"/>
      <c r="K512" s="1"/>
      <c r="L512" s="1"/>
      <c r="M512" s="1"/>
    </row>
    <row r="513" spans="1:13" s="7" customFormat="1" ht="17.25">
      <c r="A513" s="21" t="s">
        <v>69</v>
      </c>
      <c r="B513" s="66"/>
      <c r="C513" s="66"/>
      <c r="D513" s="66"/>
      <c r="E513" s="66"/>
      <c r="F513" s="69"/>
      <c r="G513" s="66"/>
      <c r="H513" s="1"/>
      <c r="I513" s="1"/>
      <c r="J513" s="1"/>
      <c r="K513" s="1"/>
      <c r="L513" s="1"/>
      <c r="M513" s="1"/>
    </row>
    <row r="514" spans="1:13" s="7" customFormat="1" ht="17.25">
      <c r="A514" s="21" t="s">
        <v>70</v>
      </c>
      <c r="B514" s="55"/>
      <c r="C514" s="56"/>
      <c r="D514" s="56"/>
      <c r="E514" s="54"/>
      <c r="F514" s="68"/>
      <c r="G514" s="54"/>
      <c r="H514" s="1"/>
      <c r="I514" s="1"/>
      <c r="J514" s="1"/>
      <c r="K514" s="1"/>
      <c r="L514" s="1"/>
      <c r="M514" s="1"/>
    </row>
    <row r="515" spans="1:13" s="7" customFormat="1" ht="17.25">
      <c r="A515" s="22" t="s">
        <v>116</v>
      </c>
      <c r="B515" s="83"/>
      <c r="C515" s="83"/>
      <c r="D515" s="83"/>
      <c r="E515" s="83"/>
      <c r="F515" s="76"/>
      <c r="G515" s="83"/>
      <c r="H515" s="1"/>
      <c r="I515" s="1"/>
      <c r="J515" s="1"/>
      <c r="K515" s="1"/>
      <c r="L515" s="1"/>
      <c r="M515" s="1"/>
    </row>
    <row r="516" spans="1:13" s="7" customFormat="1" ht="17.25">
      <c r="A516" s="24" t="s">
        <v>117</v>
      </c>
      <c r="B516" s="65">
        <v>0</v>
      </c>
      <c r="C516" s="65">
        <v>0</v>
      </c>
      <c r="D516" s="65">
        <v>1500</v>
      </c>
      <c r="E516" s="65">
        <v>0</v>
      </c>
      <c r="F516" s="75"/>
      <c r="G516" s="65">
        <v>0</v>
      </c>
      <c r="H516" s="1"/>
      <c r="I516" s="1"/>
      <c r="J516" s="1"/>
      <c r="K516" s="1"/>
      <c r="L516" s="1"/>
      <c r="M516" s="1"/>
    </row>
    <row r="517" spans="1:13" s="7" customFormat="1" ht="17.25">
      <c r="A517" s="22" t="s">
        <v>172</v>
      </c>
      <c r="B517" s="66">
        <v>0</v>
      </c>
      <c r="C517" s="66">
        <v>0</v>
      </c>
      <c r="D517" s="66">
        <v>6000</v>
      </c>
      <c r="E517" s="66">
        <v>0</v>
      </c>
      <c r="F517" s="82"/>
      <c r="G517" s="66">
        <v>0</v>
      </c>
      <c r="H517" s="1"/>
      <c r="I517" s="1"/>
      <c r="J517" s="1"/>
      <c r="K517" s="1"/>
      <c r="L517" s="1"/>
      <c r="M517" s="1"/>
    </row>
    <row r="518" spans="1:13" s="7" customFormat="1" ht="17.25">
      <c r="A518" s="24" t="s">
        <v>173</v>
      </c>
      <c r="B518" s="66">
        <v>0</v>
      </c>
      <c r="C518" s="66">
        <v>0</v>
      </c>
      <c r="D518" s="66">
        <v>42000</v>
      </c>
      <c r="E518" s="66">
        <v>0</v>
      </c>
      <c r="F518" s="105"/>
      <c r="G518" s="66">
        <v>0</v>
      </c>
      <c r="H518" s="1"/>
      <c r="I518" s="1"/>
      <c r="J518" s="1"/>
      <c r="K518" s="1"/>
      <c r="L518" s="1"/>
    </row>
    <row r="519" spans="1:13" s="7" customFormat="1" ht="17.25">
      <c r="A519" s="22" t="s">
        <v>174</v>
      </c>
      <c r="B519" s="56">
        <v>0</v>
      </c>
      <c r="C519" s="56">
        <v>0</v>
      </c>
      <c r="D519" s="56">
        <v>0</v>
      </c>
      <c r="E519" s="56">
        <v>8000</v>
      </c>
      <c r="F519" s="59">
        <v>-1</v>
      </c>
      <c r="G519" s="56">
        <v>0</v>
      </c>
      <c r="H519" s="1"/>
      <c r="I519" s="1"/>
      <c r="J519" s="1"/>
      <c r="K519" s="1"/>
      <c r="L519" s="1"/>
    </row>
    <row r="520" spans="1:13" s="7" customFormat="1" ht="17.25">
      <c r="A520" s="22" t="s">
        <v>175</v>
      </c>
      <c r="B520" s="57">
        <v>31215</v>
      </c>
      <c r="C520" s="57">
        <v>0</v>
      </c>
      <c r="D520" s="57">
        <v>0</v>
      </c>
      <c r="E520" s="57">
        <v>8000</v>
      </c>
      <c r="F520" s="64">
        <v>-1</v>
      </c>
      <c r="G520" s="57">
        <v>0</v>
      </c>
      <c r="H520" s="1"/>
      <c r="I520" s="1"/>
      <c r="J520" s="1"/>
      <c r="K520" s="1"/>
      <c r="L520" s="1"/>
    </row>
    <row r="521" spans="1:13" s="7" customFormat="1" ht="17.25">
      <c r="A521" s="22" t="s">
        <v>176</v>
      </c>
      <c r="B521" s="65">
        <v>64500</v>
      </c>
      <c r="C521" s="65">
        <v>0</v>
      </c>
      <c r="D521" s="65">
        <v>0</v>
      </c>
      <c r="E521" s="65">
        <v>8000</v>
      </c>
      <c r="F521" s="59">
        <v>-1</v>
      </c>
      <c r="G521" s="65">
        <v>0</v>
      </c>
      <c r="H521" s="1"/>
      <c r="I521" s="1"/>
      <c r="J521" s="1"/>
      <c r="K521" s="1"/>
      <c r="L521" s="1"/>
    </row>
    <row r="522" spans="1:13" s="7" customFormat="1" ht="17.25">
      <c r="A522" s="24" t="s">
        <v>119</v>
      </c>
      <c r="B522" s="66"/>
      <c r="C522" s="66"/>
      <c r="D522" s="66"/>
      <c r="E522" s="66"/>
      <c r="F522" s="69"/>
      <c r="G522" s="66"/>
      <c r="H522" s="1"/>
      <c r="I522" s="1"/>
      <c r="J522" s="1"/>
      <c r="K522" s="1"/>
      <c r="L522" s="1"/>
    </row>
    <row r="523" spans="1:13" s="7" customFormat="1" ht="17.25">
      <c r="A523" s="22" t="s">
        <v>177</v>
      </c>
      <c r="B523" s="65">
        <v>0</v>
      </c>
      <c r="C523" s="65">
        <v>0</v>
      </c>
      <c r="D523" s="65">
        <v>45000</v>
      </c>
      <c r="E523" s="65">
        <v>0</v>
      </c>
      <c r="F523" s="75" t="s">
        <v>318</v>
      </c>
      <c r="G523" s="65">
        <v>0</v>
      </c>
      <c r="H523" s="1"/>
      <c r="I523" s="1"/>
      <c r="J523" s="1"/>
      <c r="K523" s="1"/>
      <c r="L523" s="1"/>
    </row>
    <row r="524" spans="1:13" s="7" customFormat="1" ht="17.25">
      <c r="A524" s="24" t="s">
        <v>136</v>
      </c>
      <c r="B524" s="66"/>
      <c r="C524" s="66"/>
      <c r="D524" s="66"/>
      <c r="E524" s="66"/>
      <c r="F524" s="114"/>
      <c r="G524" s="66"/>
      <c r="H524" s="1"/>
      <c r="I524" s="1"/>
      <c r="J524" s="1"/>
      <c r="K524" s="1"/>
      <c r="L524" s="1"/>
    </row>
    <row r="525" spans="1:13" s="7" customFormat="1" ht="17.25">
      <c r="A525" s="22" t="s">
        <v>491</v>
      </c>
      <c r="B525" s="65">
        <v>0</v>
      </c>
      <c r="C525" s="65">
        <v>0</v>
      </c>
      <c r="D525" s="65">
        <v>0</v>
      </c>
      <c r="E525" s="65">
        <v>0</v>
      </c>
      <c r="F525" s="75" t="s">
        <v>320</v>
      </c>
      <c r="G525" s="65">
        <v>1000000</v>
      </c>
      <c r="H525" s="1"/>
      <c r="I525" s="1"/>
      <c r="J525" s="1"/>
      <c r="K525" s="1"/>
      <c r="L525" s="1"/>
    </row>
    <row r="526" spans="1:13" s="34" customFormat="1" ht="13.5" customHeight="1">
      <c r="A526" s="199"/>
      <c r="B526" s="199" t="s">
        <v>3</v>
      </c>
      <c r="C526" s="199"/>
      <c r="D526" s="199"/>
      <c r="E526" s="199" t="s">
        <v>4</v>
      </c>
      <c r="F526" s="199"/>
      <c r="G526" s="199"/>
      <c r="H526" s="33"/>
      <c r="I526" s="33"/>
      <c r="J526" s="33"/>
      <c r="K526" s="33"/>
      <c r="L526" s="33"/>
      <c r="M526" s="33"/>
    </row>
    <row r="527" spans="1:13" s="34" customFormat="1" ht="14.25" customHeight="1">
      <c r="A527" s="199"/>
      <c r="B527" s="159" t="s">
        <v>5</v>
      </c>
      <c r="C527" s="159" t="s">
        <v>6</v>
      </c>
      <c r="D527" s="159" t="s">
        <v>7</v>
      </c>
      <c r="E527" s="159" t="s">
        <v>9</v>
      </c>
      <c r="F527" s="159" t="s">
        <v>8</v>
      </c>
      <c r="G527" s="159" t="s">
        <v>417</v>
      </c>
      <c r="H527" s="33"/>
      <c r="I527" s="33"/>
      <c r="J527" s="33"/>
      <c r="K527" s="33"/>
      <c r="L527" s="33"/>
      <c r="M527" s="33"/>
    </row>
    <row r="528" spans="1:13" s="7" customFormat="1" ht="17.25">
      <c r="A528" s="26" t="s">
        <v>178</v>
      </c>
      <c r="B528" s="66">
        <v>0</v>
      </c>
      <c r="C528" s="66">
        <v>0</v>
      </c>
      <c r="D528" s="66">
        <v>15200</v>
      </c>
      <c r="E528" s="66">
        <v>0</v>
      </c>
      <c r="F528" s="82"/>
      <c r="G528" s="66">
        <v>0</v>
      </c>
      <c r="H528" s="1"/>
      <c r="I528" s="1"/>
      <c r="J528" s="1"/>
      <c r="K528" s="1"/>
      <c r="L528" s="1"/>
    </row>
    <row r="529" spans="1:13" ht="17.25">
      <c r="A529" s="27" t="s">
        <v>179</v>
      </c>
      <c r="B529" s="83"/>
      <c r="C529" s="83"/>
      <c r="D529" s="83"/>
      <c r="E529" s="83"/>
      <c r="F529" s="76"/>
      <c r="G529" s="83"/>
      <c r="H529" s="1"/>
      <c r="I529" s="1"/>
      <c r="J529" s="1"/>
      <c r="K529" s="1"/>
      <c r="L529" s="1"/>
    </row>
    <row r="530" spans="1:13" ht="17.25">
      <c r="A530" s="22" t="s">
        <v>180</v>
      </c>
      <c r="B530" s="65">
        <v>35500</v>
      </c>
      <c r="C530" s="65">
        <v>0</v>
      </c>
      <c r="D530" s="65">
        <v>3450</v>
      </c>
      <c r="E530" s="65">
        <v>0</v>
      </c>
      <c r="F530" s="75"/>
      <c r="G530" s="65">
        <v>0</v>
      </c>
      <c r="H530" s="1"/>
      <c r="I530" s="1"/>
      <c r="J530" s="1"/>
      <c r="K530" s="1"/>
      <c r="L530" s="1"/>
    </row>
    <row r="531" spans="1:13" ht="17.25">
      <c r="A531" s="26" t="s">
        <v>127</v>
      </c>
      <c r="B531" s="66">
        <v>176468.85</v>
      </c>
      <c r="C531" s="66">
        <v>10000</v>
      </c>
      <c r="D531" s="66">
        <f>1145+7425</f>
        <v>8570</v>
      </c>
      <c r="E531" s="66">
        <v>50000</v>
      </c>
      <c r="F531" s="74">
        <v>-0.4</v>
      </c>
      <c r="G531" s="66">
        <v>30000</v>
      </c>
      <c r="H531" s="1"/>
      <c r="I531" s="1"/>
      <c r="J531" s="1"/>
      <c r="K531" s="1"/>
      <c r="L531" s="1"/>
    </row>
    <row r="532" spans="1:13" ht="17.25">
      <c r="A532" s="32" t="s">
        <v>82</v>
      </c>
      <c r="B532" s="97">
        <f>B520+B521+B530+B531</f>
        <v>307683.84999999998</v>
      </c>
      <c r="C532" s="97">
        <v>10000</v>
      </c>
      <c r="D532" s="97">
        <f>D516+D517+D518+D523+D528+D530+D531</f>
        <v>121720</v>
      </c>
      <c r="E532" s="97">
        <f>E519+E520+E521+E531</f>
        <v>74000</v>
      </c>
      <c r="F532" s="98"/>
      <c r="G532" s="97">
        <f>G519+G520+G521+G531+G525</f>
        <v>1030000</v>
      </c>
      <c r="H532" s="1"/>
      <c r="I532" s="1"/>
      <c r="J532" s="1"/>
      <c r="K532" s="1"/>
      <c r="L532" s="1"/>
    </row>
    <row r="533" spans="1:13" ht="17.25">
      <c r="A533" s="16" t="s">
        <v>88</v>
      </c>
      <c r="B533" s="93">
        <f>B532</f>
        <v>307683.84999999998</v>
      </c>
      <c r="C533" s="93">
        <v>10000</v>
      </c>
      <c r="D533" s="93">
        <f>D532</f>
        <v>121720</v>
      </c>
      <c r="E533" s="93">
        <v>74000</v>
      </c>
      <c r="F533" s="73"/>
      <c r="G533" s="93">
        <f>G532</f>
        <v>1030000</v>
      </c>
      <c r="H533" s="1"/>
      <c r="I533" s="1"/>
      <c r="J533" s="1"/>
      <c r="K533" s="1"/>
      <c r="L533" s="1"/>
    </row>
    <row r="534" spans="1:13" ht="17.25">
      <c r="A534" s="23" t="s">
        <v>94</v>
      </c>
      <c r="B534" s="66"/>
      <c r="C534" s="66"/>
      <c r="D534" s="66"/>
      <c r="E534" s="66"/>
      <c r="F534" s="66"/>
      <c r="G534" s="66"/>
      <c r="H534" s="1"/>
      <c r="I534" s="1"/>
      <c r="J534" s="1"/>
      <c r="K534" s="1"/>
      <c r="L534" s="1"/>
    </row>
    <row r="535" spans="1:13" ht="17.25">
      <c r="A535" s="21" t="s">
        <v>95</v>
      </c>
      <c r="B535" s="17"/>
      <c r="C535" s="17"/>
      <c r="D535" s="17"/>
      <c r="E535" s="17"/>
      <c r="F535" s="17"/>
      <c r="G535" s="17"/>
    </row>
    <row r="536" spans="1:13" ht="17.25">
      <c r="A536" s="24" t="s">
        <v>181</v>
      </c>
      <c r="B536" s="65">
        <v>140000</v>
      </c>
      <c r="C536" s="65">
        <v>150000</v>
      </c>
      <c r="D536" s="65">
        <v>127500</v>
      </c>
      <c r="E536" s="65">
        <v>0</v>
      </c>
      <c r="F536" s="75"/>
      <c r="G536" s="65">
        <v>0</v>
      </c>
    </row>
    <row r="537" spans="1:13" ht="17.25">
      <c r="A537" s="16" t="s">
        <v>98</v>
      </c>
      <c r="B537" s="92">
        <v>140000</v>
      </c>
      <c r="C537" s="92">
        <v>150000</v>
      </c>
      <c r="D537" s="92">
        <v>127500</v>
      </c>
      <c r="E537" s="92">
        <v>0</v>
      </c>
      <c r="F537" s="88"/>
      <c r="G537" s="92">
        <v>0</v>
      </c>
    </row>
    <row r="538" spans="1:13" ht="17.25">
      <c r="A538" s="16" t="s">
        <v>99</v>
      </c>
      <c r="B538" s="93">
        <v>140000</v>
      </c>
      <c r="C538" s="93">
        <v>150000</v>
      </c>
      <c r="D538" s="93">
        <v>127500</v>
      </c>
      <c r="E538" s="93">
        <v>0</v>
      </c>
      <c r="F538" s="73"/>
      <c r="G538" s="93">
        <v>0</v>
      </c>
    </row>
    <row r="539" spans="1:13" ht="17.25">
      <c r="A539" s="16" t="s">
        <v>182</v>
      </c>
      <c r="B539" s="92">
        <f>B481+B538+B533+B512</f>
        <v>1419708.65</v>
      </c>
      <c r="C539" s="92">
        <f>C481+C538+C533+C512</f>
        <v>1153899</v>
      </c>
      <c r="D539" s="92">
        <f>D481+D538+D533+D512</f>
        <v>1429211</v>
      </c>
      <c r="E539" s="92">
        <f>E481+E538+E533+E512</f>
        <v>1417080</v>
      </c>
      <c r="F539" s="88"/>
      <c r="G539" s="92">
        <f>G481+G538+G533+G512</f>
        <v>2577750</v>
      </c>
    </row>
    <row r="540" spans="1:13" s="7" customFormat="1" ht="17.25">
      <c r="A540" s="21" t="s">
        <v>183</v>
      </c>
      <c r="B540" s="65"/>
      <c r="C540" s="65"/>
      <c r="D540" s="65"/>
      <c r="E540" s="65"/>
      <c r="F540" s="68"/>
      <c r="G540" s="65"/>
      <c r="H540" s="1"/>
      <c r="I540" s="1"/>
      <c r="J540" s="1"/>
      <c r="K540" s="1"/>
      <c r="L540" s="1"/>
      <c r="M540" s="1"/>
    </row>
    <row r="541" spans="1:13" s="7" customFormat="1" ht="17.25">
      <c r="A541" s="21" t="s">
        <v>33</v>
      </c>
      <c r="B541" s="65"/>
      <c r="C541" s="65"/>
      <c r="D541" s="65"/>
      <c r="E541" s="65"/>
      <c r="F541" s="68"/>
      <c r="G541" s="65"/>
      <c r="H541" s="1"/>
      <c r="I541" s="1"/>
      <c r="J541" s="1"/>
      <c r="K541" s="1"/>
      <c r="L541" s="1"/>
      <c r="M541" s="1"/>
    </row>
    <row r="542" spans="1:13" s="7" customFormat="1" ht="17.25">
      <c r="A542" s="29" t="s">
        <v>41</v>
      </c>
      <c r="B542" s="66"/>
      <c r="C542" s="66"/>
      <c r="D542" s="66"/>
      <c r="E542" s="66"/>
      <c r="F542" s="69"/>
      <c r="G542" s="66"/>
      <c r="H542" s="1"/>
      <c r="I542" s="1"/>
      <c r="J542" s="1"/>
      <c r="K542" s="1"/>
      <c r="L542" s="1"/>
      <c r="M542" s="1"/>
    </row>
    <row r="543" spans="1:13" s="7" customFormat="1" ht="17.25">
      <c r="A543" s="27" t="s">
        <v>44</v>
      </c>
      <c r="B543" s="200"/>
      <c r="C543" s="200"/>
      <c r="D543" s="200"/>
      <c r="E543" s="200"/>
      <c r="F543" s="200"/>
      <c r="G543" s="200"/>
      <c r="H543" s="1"/>
      <c r="I543" s="1"/>
      <c r="J543" s="1"/>
      <c r="K543" s="1"/>
      <c r="L543" s="1"/>
      <c r="M543" s="1"/>
    </row>
    <row r="544" spans="1:13" s="7" customFormat="1" ht="17.25">
      <c r="A544" s="24" t="s">
        <v>308</v>
      </c>
      <c r="B544" s="202"/>
      <c r="C544" s="202"/>
      <c r="D544" s="202"/>
      <c r="E544" s="202"/>
      <c r="F544" s="202"/>
      <c r="G544" s="202"/>
      <c r="H544" s="1"/>
      <c r="I544" s="1"/>
      <c r="J544" s="1"/>
      <c r="K544" s="1"/>
      <c r="L544" s="1"/>
      <c r="M544" s="1"/>
    </row>
    <row r="545" spans="1:13" s="7" customFormat="1" ht="17.25">
      <c r="A545" s="26" t="s">
        <v>184</v>
      </c>
      <c r="B545" s="66">
        <v>0</v>
      </c>
      <c r="C545" s="66">
        <v>0</v>
      </c>
      <c r="D545" s="66">
        <v>0</v>
      </c>
      <c r="E545" s="66">
        <v>0</v>
      </c>
      <c r="F545" s="82"/>
      <c r="G545" s="66">
        <v>0</v>
      </c>
      <c r="H545" s="1"/>
      <c r="I545" s="1"/>
      <c r="J545" s="1"/>
      <c r="K545" s="1"/>
      <c r="L545" s="1"/>
      <c r="M545" s="1"/>
    </row>
    <row r="546" spans="1:13" s="7" customFormat="1" ht="17.25">
      <c r="A546" s="27" t="s">
        <v>333</v>
      </c>
      <c r="B546" s="200">
        <v>0</v>
      </c>
      <c r="C546" s="200">
        <v>0</v>
      </c>
      <c r="D546" s="200">
        <v>0</v>
      </c>
      <c r="E546" s="200">
        <v>0</v>
      </c>
      <c r="F546" s="207" t="s">
        <v>320</v>
      </c>
      <c r="G546" s="200">
        <v>10000</v>
      </c>
      <c r="H546" s="1"/>
      <c r="I546" s="1"/>
      <c r="J546" s="1"/>
      <c r="K546" s="1"/>
      <c r="L546" s="1"/>
      <c r="M546" s="1"/>
    </row>
    <row r="547" spans="1:13" s="7" customFormat="1" ht="17.25">
      <c r="A547" s="104" t="s">
        <v>334</v>
      </c>
      <c r="B547" s="202"/>
      <c r="C547" s="202"/>
      <c r="D547" s="202"/>
      <c r="E547" s="202"/>
      <c r="F547" s="202"/>
      <c r="G547" s="202"/>
      <c r="H547" s="1"/>
      <c r="I547" s="1"/>
      <c r="J547" s="1"/>
      <c r="K547" s="1"/>
      <c r="L547" s="1"/>
      <c r="M547" s="1"/>
    </row>
    <row r="548" spans="1:13" s="7" customFormat="1" ht="17.25">
      <c r="A548" s="27" t="s">
        <v>331</v>
      </c>
      <c r="B548" s="200">
        <v>150115</v>
      </c>
      <c r="C548" s="200">
        <v>189000</v>
      </c>
      <c r="D548" s="200">
        <v>95289.5</v>
      </c>
      <c r="E548" s="200">
        <v>0</v>
      </c>
      <c r="F548" s="207"/>
      <c r="G548" s="200">
        <v>0</v>
      </c>
      <c r="H548" s="1"/>
      <c r="I548" s="1"/>
      <c r="J548" s="1"/>
      <c r="K548" s="1"/>
      <c r="L548" s="1"/>
      <c r="M548" s="1"/>
    </row>
    <row r="549" spans="1:13" s="7" customFormat="1" ht="17.25">
      <c r="A549" s="24" t="s">
        <v>332</v>
      </c>
      <c r="B549" s="202"/>
      <c r="C549" s="202"/>
      <c r="D549" s="202"/>
      <c r="E549" s="202"/>
      <c r="F549" s="202"/>
      <c r="G549" s="202"/>
      <c r="H549" s="1"/>
      <c r="I549" s="1"/>
      <c r="J549" s="1"/>
      <c r="K549" s="1"/>
      <c r="L549" s="1"/>
      <c r="M549" s="1"/>
    </row>
    <row r="550" spans="1:13" s="7" customFormat="1" ht="17.25">
      <c r="A550" s="24" t="s">
        <v>185</v>
      </c>
      <c r="B550" s="83">
        <v>0</v>
      </c>
      <c r="C550" s="83">
        <v>0</v>
      </c>
      <c r="D550" s="83">
        <v>0</v>
      </c>
      <c r="E550" s="83">
        <v>0</v>
      </c>
      <c r="F550" s="94"/>
      <c r="G550" s="83">
        <v>0</v>
      </c>
      <c r="H550" s="1"/>
      <c r="I550" s="1"/>
      <c r="J550" s="1"/>
      <c r="K550" s="1"/>
      <c r="L550" s="1"/>
      <c r="M550" s="1"/>
    </row>
    <row r="551" spans="1:13" s="7" customFormat="1" ht="17.25">
      <c r="A551" s="26" t="s">
        <v>186</v>
      </c>
      <c r="B551" s="83">
        <v>0</v>
      </c>
      <c r="C551" s="83">
        <v>0</v>
      </c>
      <c r="D551" s="83">
        <v>0</v>
      </c>
      <c r="E551" s="83">
        <v>0</v>
      </c>
      <c r="F551" s="94"/>
      <c r="G551" s="83">
        <v>0</v>
      </c>
      <c r="H551" s="1"/>
      <c r="I551" s="1"/>
      <c r="J551" s="1"/>
      <c r="K551" s="1"/>
      <c r="L551" s="1"/>
      <c r="M551" s="1"/>
    </row>
    <row r="552" spans="1:13" s="7" customFormat="1" ht="17.25">
      <c r="A552" s="27" t="s">
        <v>492</v>
      </c>
      <c r="B552" s="200">
        <v>0</v>
      </c>
      <c r="C552" s="200">
        <v>0</v>
      </c>
      <c r="D552" s="200">
        <v>0</v>
      </c>
      <c r="E552" s="200">
        <v>0</v>
      </c>
      <c r="F552" s="211">
        <v>1</v>
      </c>
      <c r="G552" s="200">
        <v>30000</v>
      </c>
      <c r="H552" s="1"/>
      <c r="I552" s="1"/>
      <c r="J552" s="1"/>
      <c r="K552" s="1"/>
      <c r="L552" s="1"/>
      <c r="M552" s="1"/>
    </row>
    <row r="553" spans="1:13" s="7" customFormat="1" ht="17.25">
      <c r="A553" s="24" t="s">
        <v>386</v>
      </c>
      <c r="B553" s="202"/>
      <c r="C553" s="202"/>
      <c r="D553" s="202"/>
      <c r="E553" s="202"/>
      <c r="F553" s="202"/>
      <c r="G553" s="202"/>
      <c r="H553" s="1"/>
      <c r="I553" s="1"/>
      <c r="J553" s="1"/>
      <c r="K553" s="1"/>
      <c r="L553" s="1"/>
      <c r="M553" s="1"/>
    </row>
    <row r="554" spans="1:13" s="7" customFormat="1" ht="17.25">
      <c r="A554" s="22" t="s">
        <v>493</v>
      </c>
      <c r="B554" s="65">
        <v>0</v>
      </c>
      <c r="C554" s="65">
        <v>0</v>
      </c>
      <c r="D554" s="65">
        <v>0</v>
      </c>
      <c r="E554" s="65">
        <v>0</v>
      </c>
      <c r="F554" s="141">
        <v>1</v>
      </c>
      <c r="G554" s="65">
        <v>20000</v>
      </c>
      <c r="H554" s="1"/>
      <c r="I554" s="1"/>
      <c r="J554" s="1"/>
      <c r="K554" s="1"/>
      <c r="L554" s="1"/>
      <c r="M554" s="1"/>
    </row>
    <row r="555" spans="1:13" s="7" customFormat="1" ht="17.25">
      <c r="A555" s="142" t="s">
        <v>494</v>
      </c>
      <c r="B555" s="65">
        <v>0</v>
      </c>
      <c r="C555" s="65">
        <v>0</v>
      </c>
      <c r="D555" s="65">
        <v>0</v>
      </c>
      <c r="E555" s="65">
        <v>0</v>
      </c>
      <c r="F555" s="141">
        <v>1</v>
      </c>
      <c r="G555" s="65">
        <v>10000</v>
      </c>
      <c r="H555" s="1"/>
      <c r="I555" s="1"/>
      <c r="J555" s="1"/>
      <c r="K555" s="1"/>
      <c r="L555" s="1"/>
      <c r="M555" s="1"/>
    </row>
    <row r="556" spans="1:13" s="7" customFormat="1" ht="17.25">
      <c r="A556" s="142" t="s">
        <v>495</v>
      </c>
      <c r="B556" s="65">
        <v>0</v>
      </c>
      <c r="C556" s="65">
        <v>0</v>
      </c>
      <c r="D556" s="65">
        <v>0</v>
      </c>
      <c r="E556" s="65">
        <v>0</v>
      </c>
      <c r="F556" s="141">
        <v>1</v>
      </c>
      <c r="G556" s="65">
        <v>28000</v>
      </c>
      <c r="H556" s="1"/>
      <c r="I556" s="1"/>
      <c r="J556" s="1"/>
      <c r="K556" s="1"/>
      <c r="L556" s="1"/>
      <c r="M556" s="1"/>
    </row>
    <row r="557" spans="1:13" s="34" customFormat="1" ht="17.25">
      <c r="A557" s="199"/>
      <c r="B557" s="199" t="s">
        <v>3</v>
      </c>
      <c r="C557" s="199"/>
      <c r="D557" s="199"/>
      <c r="E557" s="199" t="s">
        <v>4</v>
      </c>
      <c r="F557" s="199"/>
      <c r="G557" s="199"/>
      <c r="H557" s="33"/>
      <c r="I557" s="33"/>
      <c r="J557" s="33"/>
      <c r="K557" s="33"/>
      <c r="L557" s="33"/>
      <c r="M557" s="33"/>
    </row>
    <row r="558" spans="1:13" s="34" customFormat="1" ht="17.25">
      <c r="A558" s="199"/>
      <c r="B558" s="159" t="s">
        <v>5</v>
      </c>
      <c r="C558" s="159" t="s">
        <v>6</v>
      </c>
      <c r="D558" s="159" t="s">
        <v>7</v>
      </c>
      <c r="E558" s="159" t="s">
        <v>9</v>
      </c>
      <c r="F558" s="159" t="s">
        <v>8</v>
      </c>
      <c r="G558" s="159" t="s">
        <v>417</v>
      </c>
      <c r="H558" s="33"/>
      <c r="I558" s="33"/>
      <c r="J558" s="33"/>
      <c r="K558" s="33"/>
      <c r="L558" s="33"/>
      <c r="M558" s="33"/>
    </row>
    <row r="559" spans="1:13" s="34" customFormat="1" ht="17.25">
      <c r="A559" s="142" t="s">
        <v>496</v>
      </c>
      <c r="B559" s="144">
        <v>0</v>
      </c>
      <c r="C559" s="88">
        <v>0</v>
      </c>
      <c r="D559" s="88">
        <v>0</v>
      </c>
      <c r="E559" s="145">
        <v>0</v>
      </c>
      <c r="F559" s="146">
        <v>1</v>
      </c>
      <c r="G559" s="117">
        <v>38000</v>
      </c>
      <c r="H559" s="33"/>
      <c r="I559" s="33"/>
      <c r="J559" s="33"/>
      <c r="K559" s="33"/>
      <c r="L559" s="33"/>
      <c r="M559" s="33"/>
    </row>
    <row r="560" spans="1:13" s="7" customFormat="1" ht="17.25">
      <c r="A560" s="22" t="s">
        <v>187</v>
      </c>
      <c r="B560" s="66">
        <v>0</v>
      </c>
      <c r="C560" s="66">
        <v>0</v>
      </c>
      <c r="D560" s="66">
        <v>0</v>
      </c>
      <c r="E560" s="66">
        <v>0</v>
      </c>
      <c r="F560" s="82"/>
      <c r="G560" s="66">
        <v>0</v>
      </c>
      <c r="H560" s="1"/>
      <c r="I560" s="1"/>
      <c r="J560" s="1"/>
      <c r="K560" s="1"/>
      <c r="L560" s="1"/>
      <c r="M560" s="1"/>
    </row>
    <row r="561" spans="1:12" s="7" customFormat="1" ht="17.25">
      <c r="A561" s="24" t="s">
        <v>188</v>
      </c>
      <c r="B561" s="66">
        <v>0</v>
      </c>
      <c r="C561" s="66">
        <v>0</v>
      </c>
      <c r="D561" s="66">
        <v>0</v>
      </c>
      <c r="E561" s="66">
        <v>0</v>
      </c>
      <c r="F561" s="82"/>
      <c r="G561" s="66">
        <v>0</v>
      </c>
      <c r="H561" s="1"/>
      <c r="I561" s="1"/>
      <c r="J561" s="1"/>
      <c r="K561" s="1"/>
      <c r="L561" s="1"/>
    </row>
    <row r="562" spans="1:12" s="7" customFormat="1" ht="17.25">
      <c r="A562" s="27" t="s">
        <v>189</v>
      </c>
      <c r="B562" s="56">
        <v>0</v>
      </c>
      <c r="C562" s="56">
        <v>0</v>
      </c>
      <c r="D562" s="56">
        <v>0</v>
      </c>
      <c r="E562" s="56">
        <v>0</v>
      </c>
      <c r="F562" s="75"/>
      <c r="G562" s="56">
        <v>0</v>
      </c>
      <c r="H562" s="1"/>
      <c r="I562" s="1"/>
      <c r="J562" s="1"/>
      <c r="K562" s="1"/>
      <c r="L562" s="1"/>
    </row>
    <row r="563" spans="1:12" s="7" customFormat="1" ht="17.25">
      <c r="A563" s="27" t="s">
        <v>335</v>
      </c>
      <c r="B563" s="200">
        <v>0</v>
      </c>
      <c r="C563" s="200">
        <v>0</v>
      </c>
      <c r="D563" s="200">
        <v>0</v>
      </c>
      <c r="E563" s="200">
        <v>0</v>
      </c>
      <c r="F563" s="207"/>
      <c r="G563" s="200">
        <v>0</v>
      </c>
      <c r="H563" s="1"/>
      <c r="I563" s="1"/>
      <c r="J563" s="1"/>
      <c r="K563" s="1"/>
      <c r="L563" s="1"/>
    </row>
    <row r="564" spans="1:12" s="7" customFormat="1" ht="17.25">
      <c r="A564" s="26" t="s">
        <v>336</v>
      </c>
      <c r="B564" s="202"/>
      <c r="C564" s="202"/>
      <c r="D564" s="202"/>
      <c r="E564" s="202"/>
      <c r="F564" s="202"/>
      <c r="G564" s="202"/>
      <c r="H564" s="1"/>
      <c r="I564" s="1"/>
      <c r="J564" s="1"/>
      <c r="K564" s="1"/>
      <c r="L564" s="1"/>
    </row>
    <row r="565" spans="1:12" s="7" customFormat="1" ht="17.25">
      <c r="A565" s="27" t="s">
        <v>338</v>
      </c>
      <c r="B565" s="200">
        <v>0</v>
      </c>
      <c r="C565" s="200">
        <v>0</v>
      </c>
      <c r="D565" s="200">
        <v>0</v>
      </c>
      <c r="E565" s="200">
        <v>0</v>
      </c>
      <c r="F565" s="207"/>
      <c r="G565" s="200">
        <v>0</v>
      </c>
      <c r="H565" s="1"/>
      <c r="I565" s="1"/>
      <c r="J565" s="1"/>
      <c r="K565" s="1"/>
      <c r="L565" s="1"/>
    </row>
    <row r="566" spans="1:12" s="7" customFormat="1" ht="17.25">
      <c r="A566" s="24" t="s">
        <v>339</v>
      </c>
      <c r="B566" s="202"/>
      <c r="C566" s="202"/>
      <c r="D566" s="202"/>
      <c r="E566" s="202"/>
      <c r="F566" s="202"/>
      <c r="G566" s="202"/>
      <c r="H566" s="1"/>
      <c r="I566" s="1"/>
      <c r="J566" s="1"/>
      <c r="K566" s="1"/>
      <c r="L566" s="1"/>
    </row>
    <row r="567" spans="1:12" s="7" customFormat="1" ht="17.25">
      <c r="A567" s="26" t="s">
        <v>190</v>
      </c>
      <c r="B567" s="66">
        <v>0</v>
      </c>
      <c r="C567" s="66">
        <v>0</v>
      </c>
      <c r="D567" s="66">
        <v>0</v>
      </c>
      <c r="E567" s="66">
        <v>0</v>
      </c>
      <c r="F567" s="82"/>
      <c r="G567" s="66">
        <v>0</v>
      </c>
      <c r="H567" s="1"/>
      <c r="I567" s="1"/>
      <c r="J567" s="1"/>
      <c r="K567" s="1"/>
      <c r="L567" s="1"/>
    </row>
    <row r="568" spans="1:12" s="7" customFormat="1" ht="17.25">
      <c r="A568" s="148" t="s">
        <v>503</v>
      </c>
      <c r="B568" s="113">
        <v>0</v>
      </c>
      <c r="C568" s="113">
        <v>0</v>
      </c>
      <c r="D568" s="113">
        <v>0</v>
      </c>
      <c r="E568" s="113">
        <v>800</v>
      </c>
      <c r="F568" s="116">
        <v>-1</v>
      </c>
      <c r="G568" s="113">
        <v>0</v>
      </c>
      <c r="H568" s="1"/>
      <c r="I568" s="1"/>
      <c r="J568" s="1"/>
      <c r="K568" s="1"/>
      <c r="L568" s="1"/>
    </row>
    <row r="569" spans="1:12" s="7" customFormat="1" ht="17.25">
      <c r="A569" s="27" t="s">
        <v>337</v>
      </c>
      <c r="B569" s="200">
        <v>0</v>
      </c>
      <c r="C569" s="200">
        <v>0</v>
      </c>
      <c r="D569" s="200">
        <v>0</v>
      </c>
      <c r="E569" s="200">
        <v>10000</v>
      </c>
      <c r="F569" s="203">
        <v>-1</v>
      </c>
      <c r="G569" s="200">
        <v>0</v>
      </c>
      <c r="H569" s="1"/>
      <c r="I569" s="1"/>
      <c r="J569" s="1"/>
      <c r="K569" s="1"/>
      <c r="L569" s="1"/>
    </row>
    <row r="570" spans="1:12" ht="17.25">
      <c r="A570" s="147" t="s">
        <v>497</v>
      </c>
      <c r="B570" s="201"/>
      <c r="C570" s="201"/>
      <c r="D570" s="201"/>
      <c r="E570" s="201"/>
      <c r="F570" s="201"/>
      <c r="G570" s="201"/>
      <c r="H570" s="1"/>
      <c r="I570" s="1"/>
      <c r="J570" s="1"/>
      <c r="K570" s="1"/>
      <c r="L570" s="1"/>
    </row>
    <row r="571" spans="1:12" ht="17.25">
      <c r="A571" s="26" t="s">
        <v>191</v>
      </c>
      <c r="B571" s="65">
        <v>0</v>
      </c>
      <c r="C571" s="65">
        <v>0</v>
      </c>
      <c r="D571" s="65">
        <v>0</v>
      </c>
      <c r="E571" s="65">
        <v>20000</v>
      </c>
      <c r="F571" s="59">
        <v>-1</v>
      </c>
      <c r="G571" s="65">
        <v>0</v>
      </c>
      <c r="H571" s="1"/>
      <c r="I571" s="1"/>
      <c r="J571" s="1"/>
      <c r="K571" s="1"/>
      <c r="L571" s="1"/>
    </row>
    <row r="572" spans="1:12" ht="17.25">
      <c r="A572" s="27" t="s">
        <v>498</v>
      </c>
      <c r="B572" s="113">
        <v>0</v>
      </c>
      <c r="C572" s="113">
        <v>0</v>
      </c>
      <c r="D572" s="113">
        <v>0</v>
      </c>
      <c r="E572" s="113">
        <v>30000</v>
      </c>
      <c r="F572" s="116">
        <v>-1</v>
      </c>
      <c r="G572" s="113">
        <v>0</v>
      </c>
      <c r="H572" s="1"/>
      <c r="I572" s="1"/>
      <c r="J572" s="1"/>
      <c r="K572" s="1"/>
      <c r="L572" s="1"/>
    </row>
    <row r="573" spans="1:12" ht="17.25">
      <c r="A573" s="24" t="s">
        <v>192</v>
      </c>
      <c r="B573" s="83">
        <v>0</v>
      </c>
      <c r="C573" s="83">
        <v>0</v>
      </c>
      <c r="D573" s="83">
        <v>0</v>
      </c>
      <c r="E573" s="83">
        <v>20000</v>
      </c>
      <c r="F573" s="96">
        <v>-1</v>
      </c>
      <c r="G573" s="83">
        <v>0</v>
      </c>
      <c r="H573" s="1"/>
      <c r="I573" s="1"/>
      <c r="J573" s="1"/>
      <c r="K573" s="1"/>
      <c r="L573" s="1"/>
    </row>
    <row r="574" spans="1:12" ht="17.25">
      <c r="A574" s="27" t="s">
        <v>193</v>
      </c>
      <c r="B574" s="65">
        <v>0</v>
      </c>
      <c r="C574" s="65">
        <v>0</v>
      </c>
      <c r="D574" s="65">
        <v>0</v>
      </c>
      <c r="E574" s="65">
        <v>27010</v>
      </c>
      <c r="F574" s="59">
        <v>-1</v>
      </c>
      <c r="G574" s="65">
        <v>0</v>
      </c>
      <c r="H574" s="1"/>
      <c r="I574" s="1"/>
      <c r="J574" s="1"/>
      <c r="K574" s="1"/>
      <c r="L574" s="1"/>
    </row>
    <row r="575" spans="1:12" ht="17.25">
      <c r="A575" s="27" t="s">
        <v>335</v>
      </c>
      <c r="B575" s="200">
        <v>0</v>
      </c>
      <c r="C575" s="200">
        <v>0</v>
      </c>
      <c r="D575" s="200">
        <v>0</v>
      </c>
      <c r="E575" s="200">
        <v>30000</v>
      </c>
      <c r="F575" s="203">
        <v>-1</v>
      </c>
      <c r="G575" s="200">
        <v>0</v>
      </c>
      <c r="H575" s="1"/>
      <c r="I575" s="1"/>
      <c r="J575" s="1"/>
      <c r="K575" s="1"/>
      <c r="L575" s="1"/>
    </row>
    <row r="576" spans="1:12" ht="17.25">
      <c r="A576" s="24" t="s">
        <v>336</v>
      </c>
      <c r="B576" s="202"/>
      <c r="C576" s="202"/>
      <c r="D576" s="202"/>
      <c r="E576" s="202"/>
      <c r="F576" s="202"/>
      <c r="G576" s="202"/>
      <c r="H576" s="1"/>
      <c r="I576" s="1"/>
      <c r="J576" s="1"/>
      <c r="K576" s="1"/>
      <c r="L576" s="1"/>
    </row>
    <row r="577" spans="1:13" ht="17.25">
      <c r="A577" s="26" t="s">
        <v>194</v>
      </c>
      <c r="B577" s="83">
        <v>0</v>
      </c>
      <c r="C577" s="83">
        <v>0</v>
      </c>
      <c r="D577" s="83">
        <v>0</v>
      </c>
      <c r="E577" s="83">
        <v>50000</v>
      </c>
      <c r="F577" s="96">
        <v>-1</v>
      </c>
      <c r="G577" s="83">
        <v>0</v>
      </c>
    </row>
    <row r="578" spans="1:13" ht="17.25">
      <c r="A578" s="27" t="s">
        <v>502</v>
      </c>
      <c r="B578" s="113">
        <v>0</v>
      </c>
      <c r="C578" s="113">
        <v>0</v>
      </c>
      <c r="D578" s="113">
        <v>0</v>
      </c>
      <c r="E578" s="113">
        <v>10000</v>
      </c>
      <c r="F578" s="116">
        <v>-1</v>
      </c>
      <c r="G578" s="113">
        <v>0</v>
      </c>
    </row>
    <row r="579" spans="1:13" ht="17.25">
      <c r="A579" s="27" t="s">
        <v>499</v>
      </c>
      <c r="B579" s="200">
        <v>0</v>
      </c>
      <c r="C579" s="200">
        <v>0</v>
      </c>
      <c r="D579" s="200">
        <v>0</v>
      </c>
      <c r="E579" s="200">
        <v>32990</v>
      </c>
      <c r="F579" s="203">
        <v>-1</v>
      </c>
      <c r="G579" s="200">
        <v>0</v>
      </c>
    </row>
    <row r="580" spans="1:13" ht="17.25">
      <c r="A580" s="24" t="s">
        <v>500</v>
      </c>
      <c r="B580" s="201"/>
      <c r="C580" s="201"/>
      <c r="D580" s="201"/>
      <c r="E580" s="201"/>
      <c r="F580" s="201"/>
      <c r="G580" s="201"/>
    </row>
    <row r="581" spans="1:13" ht="17.25">
      <c r="A581" s="24" t="s">
        <v>501</v>
      </c>
      <c r="B581" s="202"/>
      <c r="C581" s="202"/>
      <c r="D581" s="202"/>
      <c r="E581" s="202"/>
      <c r="F581" s="202"/>
      <c r="G581" s="202"/>
    </row>
    <row r="582" spans="1:13" ht="17.25">
      <c r="A582" s="15" t="s">
        <v>50</v>
      </c>
      <c r="B582" s="92">
        <v>150115</v>
      </c>
      <c r="C582" s="92">
        <v>189000</v>
      </c>
      <c r="D582" s="92">
        <f>D545+D546+D547+D548+D549+D550+D551+D560+D561+D562+D563+D564+D565+D566+D567</f>
        <v>95289.5</v>
      </c>
      <c r="E582" s="92">
        <f>E568+E569+E570+E571+E572+E573+E574+E575+E576+E577+E578+E579+E580+E581</f>
        <v>230800</v>
      </c>
      <c r="F582" s="88"/>
      <c r="G582" s="92">
        <f>G546+G547+G552+G553+G554+G555+G556+G559</f>
        <v>136000</v>
      </c>
    </row>
    <row r="583" spans="1:13" ht="14.25" customHeight="1">
      <c r="A583" s="21" t="s">
        <v>51</v>
      </c>
      <c r="B583" s="65"/>
      <c r="C583" s="65"/>
      <c r="D583" s="65"/>
      <c r="E583" s="65"/>
      <c r="F583" s="68"/>
      <c r="G583" s="65"/>
    </row>
    <row r="584" spans="1:13" ht="17.25">
      <c r="A584" s="22" t="s">
        <v>57</v>
      </c>
      <c r="B584" s="66">
        <v>0</v>
      </c>
      <c r="C584" s="66">
        <v>12800</v>
      </c>
      <c r="D584" s="66">
        <v>90325</v>
      </c>
      <c r="E584" s="66">
        <v>80000</v>
      </c>
      <c r="F584" s="130" t="s">
        <v>504</v>
      </c>
      <c r="G584" s="66">
        <v>55000</v>
      </c>
    </row>
    <row r="585" spans="1:13" ht="17.25">
      <c r="A585" s="22" t="s">
        <v>490</v>
      </c>
      <c r="B585" s="67">
        <v>0</v>
      </c>
      <c r="C585" s="67">
        <v>0</v>
      </c>
      <c r="D585" s="67">
        <v>0</v>
      </c>
      <c r="E585" s="67">
        <v>0</v>
      </c>
      <c r="F585" s="131">
        <v>1</v>
      </c>
      <c r="G585" s="67">
        <v>9200</v>
      </c>
    </row>
    <row r="586" spans="1:13" ht="17.25">
      <c r="A586" s="32" t="s">
        <v>60</v>
      </c>
      <c r="B586" s="97">
        <v>0</v>
      </c>
      <c r="C586" s="97">
        <v>12800</v>
      </c>
      <c r="D586" s="97">
        <v>90325</v>
      </c>
      <c r="E586" s="97">
        <v>80000</v>
      </c>
      <c r="F586" s="98"/>
      <c r="G586" s="97">
        <f>G584+G585</f>
        <v>64200</v>
      </c>
    </row>
    <row r="587" spans="1:13" ht="17.25">
      <c r="A587" s="47"/>
      <c r="B587" s="45"/>
      <c r="C587" s="45"/>
      <c r="D587" s="45"/>
      <c r="E587" s="45"/>
      <c r="F587" s="45"/>
      <c r="G587" s="45"/>
    </row>
    <row r="588" spans="1:13" s="34" customFormat="1" ht="17.25">
      <c r="A588" s="199"/>
      <c r="B588" s="199" t="s">
        <v>3</v>
      </c>
      <c r="C588" s="199"/>
      <c r="D588" s="199"/>
      <c r="E588" s="199" t="s">
        <v>4</v>
      </c>
      <c r="F588" s="199"/>
      <c r="G588" s="199"/>
      <c r="H588" s="33"/>
      <c r="I588" s="33"/>
      <c r="J588" s="33"/>
      <c r="K588" s="33"/>
      <c r="L588" s="33"/>
      <c r="M588" s="33"/>
    </row>
    <row r="589" spans="1:13" s="34" customFormat="1" ht="17.25">
      <c r="A589" s="199"/>
      <c r="B589" s="159" t="s">
        <v>5</v>
      </c>
      <c r="C589" s="159" t="s">
        <v>6</v>
      </c>
      <c r="D589" s="159" t="s">
        <v>7</v>
      </c>
      <c r="E589" s="159" t="s">
        <v>9</v>
      </c>
      <c r="F589" s="159" t="s">
        <v>8</v>
      </c>
      <c r="G589" s="159" t="s">
        <v>417</v>
      </c>
      <c r="H589" s="33"/>
      <c r="I589" s="33"/>
      <c r="J589" s="33"/>
      <c r="K589" s="33"/>
      <c r="L589" s="33"/>
      <c r="M589" s="33"/>
    </row>
    <row r="590" spans="1:13" s="7" customFormat="1" ht="17.25">
      <c r="A590" s="16" t="s">
        <v>68</v>
      </c>
      <c r="B590" s="93">
        <v>150115</v>
      </c>
      <c r="C590" s="93">
        <v>201800</v>
      </c>
      <c r="D590" s="93">
        <f>D582+D586</f>
        <v>185614.5</v>
      </c>
      <c r="E590" s="93">
        <f>E582+E586</f>
        <v>310800</v>
      </c>
      <c r="F590" s="93"/>
      <c r="G590" s="93">
        <f>G582+G586</f>
        <v>200200</v>
      </c>
      <c r="H590" s="1"/>
      <c r="I590" s="1"/>
      <c r="J590" s="1"/>
      <c r="K590" s="1"/>
      <c r="L590" s="1"/>
      <c r="M590" s="1"/>
    </row>
    <row r="591" spans="1:13" s="7" customFormat="1" ht="17.25">
      <c r="A591" s="16" t="s">
        <v>195</v>
      </c>
      <c r="B591" s="93">
        <v>150115</v>
      </c>
      <c r="C591" s="93">
        <v>201800</v>
      </c>
      <c r="D591" s="93">
        <f>D590</f>
        <v>185614.5</v>
      </c>
      <c r="E591" s="93">
        <f>E590</f>
        <v>310800</v>
      </c>
      <c r="F591" s="93"/>
      <c r="G591" s="93">
        <f>G590</f>
        <v>200200</v>
      </c>
      <c r="H591" s="1"/>
      <c r="I591" s="1"/>
      <c r="J591" s="1"/>
      <c r="K591" s="1"/>
      <c r="L591" s="1"/>
      <c r="M591" s="1"/>
    </row>
    <row r="592" spans="1:13" s="7" customFormat="1" ht="17.25">
      <c r="A592" s="15" t="s">
        <v>196</v>
      </c>
      <c r="B592" s="92">
        <f>B539+B590</f>
        <v>1569823.65</v>
      </c>
      <c r="C592" s="92">
        <f>C539+C590</f>
        <v>1355699</v>
      </c>
      <c r="D592" s="92">
        <f>D539+D590</f>
        <v>1614825.5</v>
      </c>
      <c r="E592" s="92">
        <f>E539+E590</f>
        <v>1727880</v>
      </c>
      <c r="F592" s="92"/>
      <c r="G592" s="92">
        <f>G539+G590</f>
        <v>2777950</v>
      </c>
      <c r="H592" s="1"/>
      <c r="I592" s="1"/>
      <c r="J592" s="1"/>
      <c r="K592" s="1"/>
      <c r="L592" s="1"/>
      <c r="M592" s="1"/>
    </row>
    <row r="593" spans="1:13" s="7" customFormat="1" ht="17.25">
      <c r="A593" s="30" t="s">
        <v>197</v>
      </c>
      <c r="B593" s="19"/>
      <c r="C593" s="19"/>
      <c r="D593" s="19"/>
      <c r="E593" s="19"/>
      <c r="F593" s="19"/>
      <c r="G593" s="19"/>
      <c r="H593" s="1"/>
      <c r="I593" s="1"/>
      <c r="J593" s="1"/>
      <c r="K593" s="1"/>
      <c r="L593" s="1"/>
      <c r="M593" s="1"/>
    </row>
    <row r="594" spans="1:13" s="7" customFormat="1" ht="17.25">
      <c r="A594" s="21" t="s">
        <v>198</v>
      </c>
      <c r="B594" s="66"/>
      <c r="C594" s="66"/>
      <c r="D594" s="66"/>
      <c r="E594" s="66"/>
      <c r="F594" s="69"/>
      <c r="G594" s="66"/>
      <c r="H594" s="1"/>
      <c r="I594" s="1"/>
      <c r="J594" s="1"/>
      <c r="K594" s="1"/>
      <c r="L594" s="1"/>
      <c r="M594" s="1"/>
    </row>
    <row r="595" spans="1:13" s="7" customFormat="1" ht="17.25">
      <c r="A595" s="23" t="s">
        <v>105</v>
      </c>
      <c r="B595" s="66"/>
      <c r="C595" s="66"/>
      <c r="D595" s="66"/>
      <c r="E595" s="66"/>
      <c r="F595" s="114"/>
      <c r="G595" s="66"/>
      <c r="H595" s="1"/>
      <c r="I595" s="1"/>
      <c r="J595" s="1"/>
      <c r="K595" s="1"/>
      <c r="L595" s="1"/>
      <c r="M595" s="1"/>
    </row>
    <row r="596" spans="1:13" s="7" customFormat="1" ht="17.25">
      <c r="A596" s="21" t="s">
        <v>24</v>
      </c>
      <c r="B596" s="66"/>
      <c r="C596" s="66"/>
      <c r="D596" s="66"/>
      <c r="E596" s="66"/>
      <c r="F596" s="114"/>
      <c r="G596" s="66"/>
      <c r="H596" s="1"/>
      <c r="I596" s="1"/>
      <c r="J596" s="1"/>
      <c r="K596" s="1"/>
      <c r="L596" s="1"/>
      <c r="M596" s="1"/>
    </row>
    <row r="597" spans="1:13" s="7" customFormat="1" ht="17.25">
      <c r="A597" s="24" t="s">
        <v>25</v>
      </c>
      <c r="B597" s="66">
        <v>0</v>
      </c>
      <c r="C597" s="66">
        <v>0</v>
      </c>
      <c r="D597" s="66">
        <v>0</v>
      </c>
      <c r="E597" s="66">
        <v>0</v>
      </c>
      <c r="F597" s="122">
        <v>1</v>
      </c>
      <c r="G597" s="66">
        <v>691200</v>
      </c>
      <c r="H597" s="1"/>
      <c r="I597" s="1"/>
      <c r="J597" s="1"/>
      <c r="K597" s="1"/>
      <c r="L597" s="1"/>
      <c r="M597" s="1"/>
    </row>
    <row r="598" spans="1:13" s="7" customFormat="1" ht="17.25">
      <c r="A598" s="15" t="s">
        <v>107</v>
      </c>
      <c r="B598" s="66">
        <v>0</v>
      </c>
      <c r="C598" s="66">
        <v>0</v>
      </c>
      <c r="D598" s="66">
        <v>0</v>
      </c>
      <c r="E598" s="66">
        <v>0</v>
      </c>
      <c r="F598" s="114"/>
      <c r="G598" s="66">
        <f>G597</f>
        <v>691200</v>
      </c>
      <c r="H598" s="1"/>
      <c r="I598" s="1"/>
      <c r="J598" s="1"/>
      <c r="K598" s="1"/>
      <c r="L598" s="1"/>
      <c r="M598" s="1"/>
    </row>
    <row r="599" spans="1:13" s="7" customFormat="1" ht="17.25">
      <c r="A599" s="16" t="s">
        <v>108</v>
      </c>
      <c r="B599" s="66">
        <v>0</v>
      </c>
      <c r="C599" s="66">
        <v>0</v>
      </c>
      <c r="D599" s="66">
        <v>0</v>
      </c>
      <c r="E599" s="66">
        <v>0</v>
      </c>
      <c r="F599" s="114"/>
      <c r="G599" s="66">
        <f>G597</f>
        <v>691200</v>
      </c>
      <c r="H599" s="1"/>
      <c r="I599" s="1"/>
      <c r="J599" s="1"/>
      <c r="K599" s="1"/>
      <c r="L599" s="1"/>
      <c r="M599" s="1"/>
    </row>
    <row r="600" spans="1:13" s="7" customFormat="1" ht="17.25">
      <c r="A600" s="29" t="s">
        <v>33</v>
      </c>
      <c r="B600" s="66"/>
      <c r="C600" s="66"/>
      <c r="D600" s="66"/>
      <c r="E600" s="66"/>
      <c r="F600" s="114"/>
      <c r="G600" s="66"/>
      <c r="H600" s="1"/>
      <c r="I600" s="1"/>
      <c r="J600" s="1"/>
      <c r="K600" s="1"/>
      <c r="L600" s="1"/>
      <c r="M600" s="1"/>
    </row>
    <row r="601" spans="1:13" s="7" customFormat="1" ht="17.25">
      <c r="A601" s="30" t="s">
        <v>34</v>
      </c>
      <c r="B601" s="66"/>
      <c r="C601" s="66"/>
      <c r="D601" s="66"/>
      <c r="E601" s="66"/>
      <c r="F601" s="114"/>
      <c r="G601" s="66"/>
      <c r="H601" s="1"/>
      <c r="I601" s="1"/>
      <c r="J601" s="1"/>
      <c r="K601" s="1"/>
      <c r="L601" s="1"/>
      <c r="M601" s="1"/>
    </row>
    <row r="602" spans="1:13" s="7" customFormat="1" ht="17.25">
      <c r="A602" s="27" t="s">
        <v>301</v>
      </c>
      <c r="B602" s="200">
        <v>0</v>
      </c>
      <c r="C602" s="200">
        <v>0</v>
      </c>
      <c r="D602" s="200">
        <v>0</v>
      </c>
      <c r="E602" s="200">
        <v>0</v>
      </c>
      <c r="F602" s="203">
        <v>1</v>
      </c>
      <c r="G602" s="200">
        <v>30000</v>
      </c>
      <c r="H602" s="1"/>
      <c r="I602" s="1"/>
      <c r="J602" s="1"/>
      <c r="K602" s="1"/>
      <c r="L602" s="1"/>
      <c r="M602" s="1"/>
    </row>
    <row r="603" spans="1:13" s="7" customFormat="1" ht="17.25">
      <c r="A603" s="24" t="s">
        <v>302</v>
      </c>
      <c r="B603" s="202"/>
      <c r="C603" s="202"/>
      <c r="D603" s="202"/>
      <c r="E603" s="202"/>
      <c r="F603" s="202"/>
      <c r="G603" s="202"/>
      <c r="H603" s="1"/>
      <c r="I603" s="1"/>
      <c r="J603" s="1"/>
      <c r="K603" s="1"/>
      <c r="L603" s="1"/>
      <c r="M603" s="1"/>
    </row>
    <row r="604" spans="1:13" s="7" customFormat="1" ht="17.25">
      <c r="A604" s="26" t="s">
        <v>110</v>
      </c>
      <c r="B604" s="66">
        <v>0</v>
      </c>
      <c r="C604" s="66">
        <v>0</v>
      </c>
      <c r="D604" s="66">
        <v>0</v>
      </c>
      <c r="E604" s="66">
        <v>0</v>
      </c>
      <c r="F604" s="122">
        <v>1</v>
      </c>
      <c r="G604" s="66">
        <v>4200</v>
      </c>
      <c r="H604" s="1"/>
      <c r="I604" s="1"/>
      <c r="J604" s="1"/>
      <c r="K604" s="1"/>
      <c r="L604" s="1"/>
      <c r="M604" s="1"/>
    </row>
    <row r="605" spans="1:13" s="7" customFormat="1" ht="17.25">
      <c r="A605" s="16" t="s">
        <v>40</v>
      </c>
      <c r="B605" s="66">
        <v>0</v>
      </c>
      <c r="C605" s="66">
        <v>0</v>
      </c>
      <c r="D605" s="66">
        <v>0</v>
      </c>
      <c r="E605" s="66">
        <v>0</v>
      </c>
      <c r="F605" s="114"/>
      <c r="G605" s="66">
        <f>G603+G604+G602</f>
        <v>34200</v>
      </c>
      <c r="H605" s="1"/>
      <c r="I605" s="1"/>
      <c r="J605" s="1"/>
      <c r="K605" s="1"/>
      <c r="L605" s="1"/>
      <c r="M605" s="1"/>
    </row>
    <row r="606" spans="1:13" s="7" customFormat="1" ht="17.25">
      <c r="A606" s="106" t="s">
        <v>41</v>
      </c>
      <c r="B606" s="66"/>
      <c r="C606" s="66"/>
      <c r="D606" s="66"/>
      <c r="E606" s="66"/>
      <c r="F606" s="69"/>
      <c r="G606" s="66"/>
      <c r="H606" s="1"/>
      <c r="I606" s="1"/>
      <c r="J606" s="1"/>
      <c r="K606" s="1"/>
      <c r="L606" s="1"/>
      <c r="M606" s="1"/>
    </row>
    <row r="607" spans="1:13" s="7" customFormat="1" ht="17.25">
      <c r="A607" s="27" t="s">
        <v>44</v>
      </c>
      <c r="B607" s="200"/>
      <c r="C607" s="200"/>
      <c r="D607" s="200"/>
      <c r="E607" s="200"/>
      <c r="F607" s="200"/>
      <c r="G607" s="200"/>
      <c r="H607" s="1"/>
      <c r="I607" s="1"/>
      <c r="J607" s="1"/>
      <c r="K607" s="1"/>
      <c r="L607" s="1"/>
      <c r="M607" s="1"/>
    </row>
    <row r="608" spans="1:13" s="7" customFormat="1" ht="17.25">
      <c r="A608" s="24" t="s">
        <v>308</v>
      </c>
      <c r="B608" s="202"/>
      <c r="C608" s="202"/>
      <c r="D608" s="202"/>
      <c r="E608" s="202"/>
      <c r="F608" s="202"/>
      <c r="G608" s="202"/>
      <c r="H608" s="1"/>
      <c r="I608" s="1"/>
      <c r="J608" s="1"/>
      <c r="K608" s="1"/>
      <c r="L608" s="1"/>
      <c r="M608" s="1"/>
    </row>
    <row r="609" spans="1:13" s="7" customFormat="1" ht="17.25">
      <c r="A609" s="24" t="s">
        <v>199</v>
      </c>
      <c r="B609" s="66">
        <v>0</v>
      </c>
      <c r="C609" s="66">
        <v>66495</v>
      </c>
      <c r="D609" s="66">
        <v>9928</v>
      </c>
      <c r="E609" s="66">
        <v>0</v>
      </c>
      <c r="F609" s="105">
        <v>1</v>
      </c>
      <c r="G609" s="66">
        <v>20000</v>
      </c>
      <c r="H609" s="1"/>
      <c r="I609" s="1"/>
      <c r="J609" s="1"/>
      <c r="K609" s="1"/>
      <c r="L609" s="1"/>
      <c r="M609" s="1"/>
    </row>
    <row r="610" spans="1:13" s="7" customFormat="1" ht="17.25">
      <c r="A610" s="22" t="s">
        <v>200</v>
      </c>
      <c r="B610" s="83">
        <v>0</v>
      </c>
      <c r="C610" s="83">
        <v>0</v>
      </c>
      <c r="D610" s="83">
        <v>0</v>
      </c>
      <c r="E610" s="83">
        <v>10000</v>
      </c>
      <c r="F610" s="96">
        <v>-1</v>
      </c>
      <c r="G610" s="83">
        <v>0</v>
      </c>
      <c r="H610" s="1"/>
      <c r="I610" s="1"/>
      <c r="J610" s="1"/>
      <c r="K610" s="1"/>
      <c r="L610" s="1"/>
      <c r="M610" s="1"/>
    </row>
    <row r="611" spans="1:13" s="7" customFormat="1" ht="17.25">
      <c r="A611" s="15" t="s">
        <v>50</v>
      </c>
      <c r="B611" s="93">
        <v>0</v>
      </c>
      <c r="C611" s="93">
        <v>66495</v>
      </c>
      <c r="D611" s="93">
        <f>D609</f>
        <v>9928</v>
      </c>
      <c r="E611" s="93">
        <v>10000</v>
      </c>
      <c r="F611" s="73"/>
      <c r="G611" s="93">
        <v>20000</v>
      </c>
      <c r="H611" s="1"/>
      <c r="I611" s="1"/>
      <c r="J611" s="1"/>
      <c r="K611" s="1"/>
      <c r="L611" s="1"/>
      <c r="M611" s="1"/>
    </row>
    <row r="612" spans="1:13" s="7" customFormat="1" ht="17.25">
      <c r="A612" s="32" t="s">
        <v>68</v>
      </c>
      <c r="B612" s="102">
        <v>0</v>
      </c>
      <c r="C612" s="102">
        <v>66495</v>
      </c>
      <c r="D612" s="102">
        <f>D611</f>
        <v>9928</v>
      </c>
      <c r="E612" s="102">
        <v>10000</v>
      </c>
      <c r="F612" s="101"/>
      <c r="G612" s="102">
        <f>G605+G611</f>
        <v>54200</v>
      </c>
      <c r="H612" s="1"/>
      <c r="I612" s="1"/>
      <c r="J612" s="1"/>
      <c r="K612" s="1"/>
      <c r="L612" s="1"/>
      <c r="M612" s="1"/>
    </row>
    <row r="613" spans="1:13" s="7" customFormat="1" ht="17.25">
      <c r="A613" s="47"/>
      <c r="B613" s="125"/>
      <c r="C613" s="125"/>
      <c r="D613" s="125"/>
      <c r="E613" s="125"/>
      <c r="F613" s="126"/>
      <c r="G613" s="125"/>
      <c r="H613" s="1"/>
      <c r="I613" s="1"/>
      <c r="J613" s="1"/>
      <c r="K613" s="1"/>
      <c r="L613" s="1"/>
      <c r="M613" s="1"/>
    </row>
    <row r="614" spans="1:13" s="7" customFormat="1" ht="17.25">
      <c r="A614" s="25"/>
      <c r="B614" s="123"/>
      <c r="C614" s="123"/>
      <c r="D614" s="123"/>
      <c r="E614" s="123"/>
      <c r="F614" s="124"/>
      <c r="G614" s="123"/>
      <c r="H614" s="1"/>
      <c r="I614" s="1"/>
      <c r="J614" s="1"/>
      <c r="K614" s="1"/>
      <c r="L614" s="1"/>
      <c r="M614" s="1"/>
    </row>
    <row r="615" spans="1:13" s="7" customFormat="1" ht="17.25">
      <c r="A615" s="25"/>
      <c r="B615" s="123"/>
      <c r="C615" s="123"/>
      <c r="D615" s="123"/>
      <c r="E615" s="123"/>
      <c r="F615" s="124"/>
      <c r="G615" s="123"/>
      <c r="H615" s="1"/>
      <c r="I615" s="1"/>
      <c r="J615" s="1"/>
      <c r="K615" s="1"/>
      <c r="L615" s="1"/>
      <c r="M615" s="1"/>
    </row>
    <row r="616" spans="1:13" s="7" customFormat="1" ht="17.25">
      <c r="A616" s="25"/>
      <c r="B616" s="123"/>
      <c r="C616" s="123"/>
      <c r="D616" s="123"/>
      <c r="E616" s="123"/>
      <c r="F616" s="124"/>
      <c r="G616" s="123"/>
      <c r="H616" s="1"/>
      <c r="I616" s="1"/>
      <c r="J616" s="1"/>
      <c r="K616" s="1"/>
      <c r="L616" s="1"/>
      <c r="M616" s="1"/>
    </row>
    <row r="617" spans="1:13" s="7" customFormat="1" ht="17.25">
      <c r="A617" s="25"/>
      <c r="B617" s="123"/>
      <c r="C617" s="123"/>
      <c r="D617" s="123"/>
      <c r="E617" s="123"/>
      <c r="F617" s="124"/>
      <c r="G617" s="123"/>
      <c r="H617" s="1"/>
      <c r="I617" s="1"/>
      <c r="J617" s="1"/>
      <c r="K617" s="1"/>
      <c r="L617" s="1"/>
      <c r="M617" s="1"/>
    </row>
    <row r="618" spans="1:13" s="7" customFormat="1" ht="17.25">
      <c r="A618" s="25"/>
      <c r="B618" s="123"/>
      <c r="C618" s="123"/>
      <c r="D618" s="123"/>
      <c r="E618" s="123"/>
      <c r="F618" s="124"/>
      <c r="G618" s="123"/>
      <c r="H618" s="1"/>
      <c r="I618" s="1"/>
      <c r="J618" s="1"/>
      <c r="K618" s="1"/>
      <c r="L618" s="1"/>
      <c r="M618" s="1"/>
    </row>
    <row r="619" spans="1:13" s="34" customFormat="1" ht="17.25">
      <c r="A619" s="199"/>
      <c r="B619" s="199" t="s">
        <v>3</v>
      </c>
      <c r="C619" s="199"/>
      <c r="D619" s="199"/>
      <c r="E619" s="199" t="s">
        <v>4</v>
      </c>
      <c r="F619" s="199"/>
      <c r="G619" s="199"/>
      <c r="H619" s="33"/>
      <c r="I619" s="33"/>
      <c r="J619" s="33"/>
      <c r="K619" s="33"/>
      <c r="L619" s="33"/>
      <c r="M619" s="33"/>
    </row>
    <row r="620" spans="1:13" s="34" customFormat="1" ht="17.25">
      <c r="A620" s="199"/>
      <c r="B620" s="159" t="s">
        <v>5</v>
      </c>
      <c r="C620" s="159" t="s">
        <v>6</v>
      </c>
      <c r="D620" s="159" t="s">
        <v>7</v>
      </c>
      <c r="E620" s="159" t="s">
        <v>9</v>
      </c>
      <c r="F620" s="159" t="s">
        <v>8</v>
      </c>
      <c r="G620" s="159" t="s">
        <v>417</v>
      </c>
      <c r="H620" s="33"/>
      <c r="I620" s="33"/>
      <c r="J620" s="33"/>
      <c r="K620" s="33"/>
      <c r="L620" s="33"/>
      <c r="M620" s="33"/>
    </row>
    <row r="621" spans="1:13" s="7" customFormat="1" ht="17.25">
      <c r="A621" s="23" t="s">
        <v>69</v>
      </c>
      <c r="B621" s="66"/>
      <c r="C621" s="66"/>
      <c r="D621" s="66"/>
      <c r="E621" s="66"/>
      <c r="F621" s="69"/>
      <c r="G621" s="66"/>
      <c r="H621" s="1"/>
      <c r="I621" s="1"/>
      <c r="J621" s="1"/>
      <c r="K621" s="1"/>
      <c r="L621" s="1"/>
    </row>
    <row r="622" spans="1:13" s="7" customFormat="1" ht="17.25">
      <c r="A622" s="21" t="s">
        <v>152</v>
      </c>
      <c r="B622" s="56"/>
      <c r="C622" s="56"/>
      <c r="D622" s="56"/>
      <c r="E622" s="56"/>
      <c r="F622" s="68"/>
      <c r="G622" s="56"/>
      <c r="H622" s="1"/>
      <c r="I622" s="1"/>
      <c r="J622" s="1"/>
      <c r="K622" s="1"/>
      <c r="L622" s="1"/>
    </row>
    <row r="623" spans="1:13" s="7" customFormat="1" ht="17.25">
      <c r="A623" s="27" t="s">
        <v>84</v>
      </c>
      <c r="B623" s="57"/>
      <c r="C623" s="57"/>
      <c r="D623" s="57"/>
      <c r="E623" s="57"/>
      <c r="F623" s="70"/>
      <c r="G623" s="57"/>
      <c r="H623" s="1"/>
      <c r="I623" s="1"/>
      <c r="J623" s="1"/>
      <c r="K623" s="1"/>
      <c r="L623" s="1"/>
    </row>
    <row r="624" spans="1:13" s="7" customFormat="1" ht="17.25">
      <c r="A624" s="27" t="s">
        <v>340</v>
      </c>
      <c r="B624" s="200">
        <v>0</v>
      </c>
      <c r="C624" s="200">
        <v>299000</v>
      </c>
      <c r="D624" s="200">
        <v>0</v>
      </c>
      <c r="E624" s="200">
        <v>0</v>
      </c>
      <c r="F624" s="203"/>
      <c r="G624" s="200">
        <v>0</v>
      </c>
      <c r="H624" s="1"/>
      <c r="I624" s="1"/>
      <c r="J624" s="1"/>
      <c r="K624" s="1"/>
      <c r="L624" s="1"/>
    </row>
    <row r="625" spans="1:12" s="7" customFormat="1" ht="17.25">
      <c r="A625" s="24" t="s">
        <v>341</v>
      </c>
      <c r="B625" s="202"/>
      <c r="C625" s="202"/>
      <c r="D625" s="202"/>
      <c r="E625" s="202"/>
      <c r="F625" s="202"/>
      <c r="G625" s="202"/>
      <c r="H625" s="1"/>
      <c r="I625" s="1"/>
      <c r="J625" s="1"/>
      <c r="K625" s="1"/>
      <c r="L625" s="1"/>
    </row>
    <row r="626" spans="1:12" s="7" customFormat="1" ht="17.25">
      <c r="A626" s="15" t="s">
        <v>160</v>
      </c>
      <c r="B626" s="92">
        <v>0</v>
      </c>
      <c r="C626" s="92">
        <f>SUM(C624)</f>
        <v>299000</v>
      </c>
      <c r="D626" s="92">
        <v>0</v>
      </c>
      <c r="E626" s="92">
        <v>0</v>
      </c>
      <c r="F626" s="88"/>
      <c r="G626" s="92">
        <v>0</v>
      </c>
      <c r="H626" s="1"/>
      <c r="I626" s="1"/>
      <c r="J626" s="1"/>
      <c r="K626" s="1"/>
      <c r="L626" s="1"/>
    </row>
    <row r="627" spans="1:12" s="7" customFormat="1" ht="17.25">
      <c r="A627" s="16" t="s">
        <v>88</v>
      </c>
      <c r="B627" s="93">
        <v>0</v>
      </c>
      <c r="C627" s="93">
        <v>299000</v>
      </c>
      <c r="D627" s="93">
        <v>0</v>
      </c>
      <c r="E627" s="93">
        <v>0</v>
      </c>
      <c r="F627" s="73"/>
      <c r="G627" s="93">
        <v>0</v>
      </c>
      <c r="H627" s="1"/>
      <c r="I627" s="1"/>
      <c r="J627" s="1"/>
      <c r="K627" s="1"/>
      <c r="L627" s="1"/>
    </row>
    <row r="628" spans="1:12" s="7" customFormat="1" ht="17.25">
      <c r="A628" s="37" t="s">
        <v>201</v>
      </c>
      <c r="B628" s="93">
        <v>0</v>
      </c>
      <c r="C628" s="93">
        <f>299000+66495</f>
        <v>365495</v>
      </c>
      <c r="D628" s="93">
        <f>D612</f>
        <v>9928</v>
      </c>
      <c r="E628" s="93">
        <v>10000</v>
      </c>
      <c r="F628" s="73"/>
      <c r="G628" s="93">
        <f>G599+G605+G611</f>
        <v>745400</v>
      </c>
      <c r="H628" s="1"/>
      <c r="I628" s="1"/>
      <c r="J628" s="1"/>
      <c r="K628" s="1"/>
      <c r="L628" s="1"/>
    </row>
    <row r="629" spans="1:12" ht="17.25">
      <c r="A629" s="32" t="s">
        <v>202</v>
      </c>
      <c r="B629" s="92">
        <v>0</v>
      </c>
      <c r="C629" s="92">
        <f>299000+66495</f>
        <v>365495</v>
      </c>
      <c r="D629" s="92">
        <f>D628</f>
        <v>9928</v>
      </c>
      <c r="E629" s="92">
        <v>10000</v>
      </c>
      <c r="F629" s="88"/>
      <c r="G629" s="92">
        <f>G628</f>
        <v>745400</v>
      </c>
      <c r="H629" s="1"/>
      <c r="I629" s="1"/>
      <c r="J629" s="1"/>
      <c r="K629" s="1"/>
      <c r="L629" s="1"/>
    </row>
    <row r="630" spans="1:12" ht="17.25">
      <c r="A630" s="21" t="s">
        <v>203</v>
      </c>
      <c r="B630" s="65"/>
      <c r="C630" s="65"/>
      <c r="D630" s="65"/>
      <c r="E630" s="65"/>
      <c r="F630" s="68"/>
      <c r="G630" s="65"/>
      <c r="H630" s="1"/>
      <c r="I630" s="1"/>
      <c r="J630" s="1"/>
      <c r="K630" s="1"/>
      <c r="L630" s="1"/>
    </row>
    <row r="631" spans="1:12" ht="17.25">
      <c r="A631" s="21" t="s">
        <v>204</v>
      </c>
      <c r="B631" s="66"/>
      <c r="C631" s="66"/>
      <c r="D631" s="66"/>
      <c r="E631" s="66"/>
      <c r="F631" s="69"/>
      <c r="G631" s="66"/>
      <c r="H631" s="1"/>
      <c r="I631" s="1"/>
      <c r="J631" s="1"/>
      <c r="K631" s="1"/>
      <c r="L631" s="1"/>
    </row>
    <row r="632" spans="1:12" ht="17.25">
      <c r="A632" s="21" t="s">
        <v>105</v>
      </c>
      <c r="B632" s="83"/>
      <c r="C632" s="83"/>
      <c r="D632" s="83"/>
      <c r="E632" s="83"/>
      <c r="F632" s="76"/>
      <c r="G632" s="83"/>
      <c r="H632" s="1"/>
      <c r="I632" s="1"/>
      <c r="J632" s="1"/>
      <c r="K632" s="1"/>
      <c r="L632" s="1"/>
    </row>
    <row r="633" spans="1:12" ht="17.25">
      <c r="A633" s="21" t="s">
        <v>24</v>
      </c>
      <c r="B633" s="65"/>
      <c r="C633" s="65"/>
      <c r="D633" s="65"/>
      <c r="E633" s="65"/>
      <c r="F633" s="68"/>
      <c r="G633" s="65"/>
      <c r="H633" s="1"/>
      <c r="I633" s="1"/>
      <c r="J633" s="1"/>
      <c r="K633" s="1"/>
      <c r="L633" s="1"/>
    </row>
    <row r="634" spans="1:12" ht="17.25">
      <c r="A634" s="22" t="s">
        <v>25</v>
      </c>
      <c r="B634" s="66">
        <v>587905</v>
      </c>
      <c r="C634" s="66">
        <v>688600</v>
      </c>
      <c r="D634" s="66">
        <v>781580</v>
      </c>
      <c r="E634" s="66">
        <v>841440</v>
      </c>
      <c r="F634" s="95">
        <v>5.2900000000000003E-2</v>
      </c>
      <c r="G634" s="66">
        <v>885960</v>
      </c>
      <c r="H634" s="1"/>
      <c r="I634" s="1"/>
      <c r="J634" s="1"/>
      <c r="K634" s="1"/>
      <c r="L634" s="1"/>
    </row>
    <row r="635" spans="1:12" ht="17.25">
      <c r="A635" s="22" t="s">
        <v>26</v>
      </c>
      <c r="B635" s="83">
        <v>0</v>
      </c>
      <c r="C635" s="83">
        <v>35000</v>
      </c>
      <c r="D635" s="83">
        <v>57000</v>
      </c>
      <c r="E635" s="83">
        <v>60000</v>
      </c>
      <c r="F635" s="99">
        <v>0</v>
      </c>
      <c r="G635" s="83">
        <v>60000</v>
      </c>
    </row>
    <row r="636" spans="1:12" ht="17.25">
      <c r="A636" s="26" t="s">
        <v>27</v>
      </c>
      <c r="B636" s="65">
        <v>155280</v>
      </c>
      <c r="C636" s="65">
        <v>171720</v>
      </c>
      <c r="D636" s="65">
        <v>192360</v>
      </c>
      <c r="E636" s="65">
        <v>207240</v>
      </c>
      <c r="F636" s="62">
        <v>5.33E-2</v>
      </c>
      <c r="G636" s="65">
        <v>218280</v>
      </c>
    </row>
    <row r="637" spans="1:12" ht="17.25">
      <c r="A637" s="22" t="s">
        <v>28</v>
      </c>
      <c r="B637" s="66">
        <v>261000</v>
      </c>
      <c r="C637" s="66">
        <v>342670</v>
      </c>
      <c r="D637" s="66">
        <v>486000</v>
      </c>
      <c r="E637" s="66">
        <v>540000</v>
      </c>
      <c r="F637" s="140" t="s">
        <v>470</v>
      </c>
      <c r="G637" s="66">
        <v>432000</v>
      </c>
    </row>
    <row r="638" spans="1:12" ht="17.25">
      <c r="A638" s="22" t="s">
        <v>106</v>
      </c>
      <c r="B638" s="65">
        <v>0</v>
      </c>
      <c r="C638" s="65">
        <v>36000</v>
      </c>
      <c r="D638" s="65">
        <v>60000</v>
      </c>
      <c r="E638" s="65">
        <v>60000</v>
      </c>
      <c r="F638" s="119" t="s">
        <v>470</v>
      </c>
      <c r="G638" s="65">
        <v>48000</v>
      </c>
    </row>
    <row r="639" spans="1:12" ht="17.25">
      <c r="A639" s="16" t="s">
        <v>107</v>
      </c>
      <c r="B639" s="92">
        <f>SUM(B634:B638)</f>
        <v>1004185</v>
      </c>
      <c r="C639" s="92">
        <f>SUM(C634:C638)</f>
        <v>1273990</v>
      </c>
      <c r="D639" s="92">
        <f>SUM(D634:D638)</f>
        <v>1576940</v>
      </c>
      <c r="E639" s="92">
        <f>SUM(E634:E638)</f>
        <v>1708680</v>
      </c>
      <c r="F639" s="88"/>
      <c r="G639" s="92">
        <f>SUM(G634:G638)</f>
        <v>1644240</v>
      </c>
    </row>
    <row r="640" spans="1:12" ht="13.5" customHeight="1">
      <c r="A640" s="16" t="s">
        <v>108</v>
      </c>
      <c r="B640" s="93">
        <v>1004185</v>
      </c>
      <c r="C640" s="93">
        <v>1273990</v>
      </c>
      <c r="D640" s="93">
        <f>D639</f>
        <v>1576940</v>
      </c>
      <c r="E640" s="93">
        <v>1708680</v>
      </c>
      <c r="F640" s="73"/>
      <c r="G640" s="93">
        <f>G639</f>
        <v>1644240</v>
      </c>
    </row>
    <row r="641" spans="1:13" s="7" customFormat="1" ht="17.25">
      <c r="A641" s="21" t="s">
        <v>33</v>
      </c>
      <c r="B641" s="65"/>
      <c r="C641" s="65"/>
      <c r="D641" s="65"/>
      <c r="E641" s="65"/>
      <c r="F641" s="68"/>
      <c r="G641" s="65"/>
      <c r="H641" s="1"/>
      <c r="I641" s="1"/>
      <c r="J641" s="1"/>
      <c r="K641" s="1"/>
      <c r="L641" s="1"/>
      <c r="M641" s="1"/>
    </row>
    <row r="642" spans="1:13" s="7" customFormat="1" ht="17.25">
      <c r="A642" s="30" t="s">
        <v>34</v>
      </c>
      <c r="B642" s="65"/>
      <c r="C642" s="65"/>
      <c r="D642" s="65"/>
      <c r="E642" s="65"/>
      <c r="F642" s="68"/>
      <c r="G642" s="65"/>
      <c r="H642" s="1"/>
      <c r="I642" s="1"/>
      <c r="J642" s="1"/>
      <c r="K642" s="1"/>
      <c r="L642" s="1"/>
      <c r="M642" s="1"/>
    </row>
    <row r="643" spans="1:13" s="7" customFormat="1" ht="17.25">
      <c r="A643" s="27" t="s">
        <v>301</v>
      </c>
      <c r="B643" s="200">
        <v>356774.5</v>
      </c>
      <c r="C643" s="200">
        <v>162870</v>
      </c>
      <c r="D643" s="200">
        <v>188820</v>
      </c>
      <c r="E643" s="200">
        <v>66195</v>
      </c>
      <c r="F643" s="207" t="s">
        <v>505</v>
      </c>
      <c r="G643" s="200">
        <v>69000</v>
      </c>
      <c r="H643" s="1"/>
      <c r="I643" s="1"/>
      <c r="J643" s="1"/>
      <c r="K643" s="1"/>
      <c r="L643" s="1"/>
      <c r="M643" s="1"/>
    </row>
    <row r="644" spans="1:13" s="7" customFormat="1" ht="17.25">
      <c r="A644" s="24" t="s">
        <v>302</v>
      </c>
      <c r="B644" s="202"/>
      <c r="C644" s="202"/>
      <c r="D644" s="202"/>
      <c r="E644" s="202"/>
      <c r="F644" s="202"/>
      <c r="G644" s="202"/>
      <c r="H644" s="1"/>
      <c r="I644" s="1"/>
      <c r="J644" s="1"/>
      <c r="K644" s="1"/>
      <c r="L644" s="1"/>
      <c r="M644" s="1"/>
    </row>
    <row r="645" spans="1:13" s="7" customFormat="1" ht="17.25">
      <c r="A645" s="24" t="s">
        <v>109</v>
      </c>
      <c r="B645" s="66">
        <v>0</v>
      </c>
      <c r="C645" s="66">
        <v>0</v>
      </c>
      <c r="D645" s="66">
        <v>0</v>
      </c>
      <c r="E645" s="66">
        <v>10000</v>
      </c>
      <c r="F645" s="105" t="s">
        <v>451</v>
      </c>
      <c r="G645" s="66">
        <v>2000</v>
      </c>
      <c r="H645" s="1"/>
      <c r="I645" s="1"/>
      <c r="J645" s="1"/>
      <c r="K645" s="1"/>
      <c r="L645" s="1"/>
      <c r="M645" s="1"/>
    </row>
    <row r="646" spans="1:13" s="7" customFormat="1" ht="17.25">
      <c r="A646" s="24" t="s">
        <v>205</v>
      </c>
      <c r="B646" s="65">
        <v>0</v>
      </c>
      <c r="C646" s="65">
        <v>0</v>
      </c>
      <c r="D646" s="65">
        <v>0</v>
      </c>
      <c r="E646" s="65">
        <v>18000</v>
      </c>
      <c r="F646" s="119" t="s">
        <v>459</v>
      </c>
      <c r="G646" s="65">
        <v>30000</v>
      </c>
      <c r="H646" s="1"/>
      <c r="I646" s="1"/>
      <c r="J646" s="1"/>
      <c r="K646" s="1"/>
      <c r="L646" s="1"/>
      <c r="M646" s="1"/>
    </row>
    <row r="647" spans="1:13" s="7" customFormat="1" ht="17.25">
      <c r="A647" s="31" t="s">
        <v>110</v>
      </c>
      <c r="B647" s="66">
        <v>20631.580000000002</v>
      </c>
      <c r="C647" s="66">
        <v>4910</v>
      </c>
      <c r="D647" s="66">
        <v>7890</v>
      </c>
      <c r="E647" s="66">
        <v>20000</v>
      </c>
      <c r="F647" s="74">
        <v>0.25</v>
      </c>
      <c r="G647" s="66">
        <v>25000</v>
      </c>
      <c r="H647" s="1"/>
      <c r="I647" s="1"/>
      <c r="J647" s="1"/>
      <c r="K647" s="1"/>
      <c r="L647" s="1"/>
      <c r="M647" s="1"/>
    </row>
    <row r="648" spans="1:13" s="7" customFormat="1" ht="17.25">
      <c r="A648" s="32" t="s">
        <v>40</v>
      </c>
      <c r="B648" s="97">
        <f>SUM(B643:B647)</f>
        <v>377406.08</v>
      </c>
      <c r="C648" s="97">
        <f>SUM(C643:C647)</f>
        <v>167780</v>
      </c>
      <c r="D648" s="97">
        <f>SUM(D643:D647)</f>
        <v>196710</v>
      </c>
      <c r="E648" s="97">
        <f>SUM(E643:E647)</f>
        <v>114195</v>
      </c>
      <c r="F648" s="98"/>
      <c r="G648" s="97">
        <f>SUM(G643:G647)</f>
        <v>126000</v>
      </c>
      <c r="H648" s="1"/>
      <c r="I648" s="1"/>
      <c r="J648" s="1"/>
      <c r="K648" s="1"/>
      <c r="L648" s="1"/>
      <c r="M648" s="1"/>
    </row>
    <row r="649" spans="1:13" s="7" customFormat="1" ht="17.25">
      <c r="A649" s="47"/>
      <c r="B649" s="125"/>
      <c r="C649" s="125"/>
      <c r="D649" s="125"/>
      <c r="E649" s="125"/>
      <c r="F649" s="126"/>
      <c r="G649" s="125"/>
      <c r="H649" s="1"/>
      <c r="I649" s="1"/>
      <c r="J649" s="1"/>
      <c r="K649" s="1"/>
      <c r="L649" s="1"/>
      <c r="M649" s="1"/>
    </row>
    <row r="650" spans="1:13" s="34" customFormat="1" ht="17.25">
      <c r="A650" s="199"/>
      <c r="B650" s="199" t="s">
        <v>3</v>
      </c>
      <c r="C650" s="199"/>
      <c r="D650" s="199"/>
      <c r="E650" s="199" t="s">
        <v>4</v>
      </c>
      <c r="F650" s="199"/>
      <c r="G650" s="199"/>
      <c r="H650" s="33"/>
      <c r="I650" s="33"/>
      <c r="J650" s="33"/>
      <c r="K650" s="33"/>
      <c r="L650" s="33"/>
      <c r="M650" s="33"/>
    </row>
    <row r="651" spans="1:13" s="34" customFormat="1" ht="17.25">
      <c r="A651" s="199"/>
      <c r="B651" s="159" t="s">
        <v>5</v>
      </c>
      <c r="C651" s="159" t="s">
        <v>6</v>
      </c>
      <c r="D651" s="159" t="s">
        <v>7</v>
      </c>
      <c r="E651" s="159" t="s">
        <v>9</v>
      </c>
      <c r="F651" s="159" t="s">
        <v>8</v>
      </c>
      <c r="G651" s="159" t="s">
        <v>417</v>
      </c>
      <c r="H651" s="33"/>
      <c r="I651" s="33"/>
      <c r="J651" s="33"/>
      <c r="K651" s="33"/>
      <c r="L651" s="33"/>
      <c r="M651" s="33"/>
    </row>
    <row r="652" spans="1:13" s="7" customFormat="1" ht="17.25">
      <c r="A652" s="21" t="s">
        <v>41</v>
      </c>
      <c r="B652" s="66"/>
      <c r="C652" s="66"/>
      <c r="D652" s="66"/>
      <c r="E652" s="66"/>
      <c r="F652" s="69"/>
      <c r="G652" s="66"/>
      <c r="H652" s="1"/>
      <c r="I652" s="1"/>
      <c r="J652" s="1"/>
      <c r="K652" s="1"/>
      <c r="L652" s="1"/>
      <c r="M652" s="1"/>
    </row>
    <row r="653" spans="1:13" s="7" customFormat="1" ht="17.25">
      <c r="A653" s="27" t="s">
        <v>42</v>
      </c>
      <c r="B653" s="83">
        <v>124033.23</v>
      </c>
      <c r="C653" s="83">
        <v>2533524.58</v>
      </c>
      <c r="D653" s="83">
        <v>244027.5</v>
      </c>
      <c r="E653" s="83">
        <v>220000</v>
      </c>
      <c r="F653" s="118" t="s">
        <v>506</v>
      </c>
      <c r="G653" s="83">
        <v>120000</v>
      </c>
      <c r="H653" s="1"/>
      <c r="I653" s="1"/>
      <c r="J653" s="1"/>
      <c r="K653" s="1"/>
      <c r="L653" s="1"/>
      <c r="M653" s="1"/>
    </row>
    <row r="654" spans="1:13" s="7" customFormat="1" ht="17.25">
      <c r="A654" s="27" t="s">
        <v>44</v>
      </c>
      <c r="B654" s="200"/>
      <c r="C654" s="200"/>
      <c r="D654" s="200"/>
      <c r="E654" s="200"/>
      <c r="F654" s="200"/>
      <c r="G654" s="200"/>
      <c r="H654" s="1"/>
      <c r="I654" s="1"/>
      <c r="J654" s="1"/>
      <c r="K654" s="1"/>
      <c r="L654" s="1"/>
      <c r="M654" s="1"/>
    </row>
    <row r="655" spans="1:13" s="7" customFormat="1" ht="17.25">
      <c r="A655" s="24" t="s">
        <v>308</v>
      </c>
      <c r="B655" s="202"/>
      <c r="C655" s="202"/>
      <c r="D655" s="202"/>
      <c r="E655" s="202"/>
      <c r="F655" s="202"/>
      <c r="G655" s="202"/>
      <c r="H655" s="1"/>
      <c r="I655" s="1"/>
      <c r="J655" s="1"/>
      <c r="K655" s="1"/>
      <c r="L655" s="1"/>
      <c r="M655" s="1"/>
    </row>
    <row r="656" spans="1:13" s="7" customFormat="1" ht="17.25">
      <c r="A656" s="24" t="s">
        <v>46</v>
      </c>
      <c r="B656" s="66">
        <v>0</v>
      </c>
      <c r="C656" s="66">
        <v>0</v>
      </c>
      <c r="D656" s="66">
        <f>13208.24+8395.88</f>
        <v>21604.12</v>
      </c>
      <c r="E656" s="66">
        <v>30000</v>
      </c>
      <c r="F656" s="105" t="s">
        <v>323</v>
      </c>
      <c r="G656" s="66">
        <v>25000</v>
      </c>
      <c r="H656" s="1"/>
      <c r="I656" s="1"/>
      <c r="J656" s="1"/>
      <c r="K656" s="1"/>
      <c r="L656" s="1"/>
      <c r="M656" s="1"/>
    </row>
    <row r="657" spans="1:12" s="7" customFormat="1" ht="17.25">
      <c r="A657" s="24" t="s">
        <v>49</v>
      </c>
      <c r="B657" s="66">
        <v>0</v>
      </c>
      <c r="C657" s="66">
        <v>0</v>
      </c>
      <c r="D657" s="66">
        <v>2900</v>
      </c>
      <c r="E657" s="66">
        <v>15000</v>
      </c>
      <c r="F657" s="130" t="s">
        <v>322</v>
      </c>
      <c r="G657" s="66">
        <v>15000</v>
      </c>
      <c r="H657" s="1"/>
      <c r="I657" s="1"/>
      <c r="J657" s="1"/>
      <c r="K657" s="1"/>
      <c r="L657" s="1"/>
    </row>
    <row r="658" spans="1:12" s="7" customFormat="1" ht="17.25">
      <c r="A658" s="32" t="s">
        <v>50</v>
      </c>
      <c r="B658" s="60">
        <f>SUM(B653:B657)</f>
        <v>124033.23</v>
      </c>
      <c r="C658" s="60">
        <f>SUM(C653:C657)</f>
        <v>2533524.58</v>
      </c>
      <c r="D658" s="60">
        <f>SUM(D653:D657)</f>
        <v>268531.62</v>
      </c>
      <c r="E658" s="60">
        <f>SUM(E653:E657)</f>
        <v>265000</v>
      </c>
      <c r="F658" s="73"/>
      <c r="G658" s="60">
        <f>SUM(G653:G657)</f>
        <v>160000</v>
      </c>
      <c r="H658" s="1"/>
      <c r="I658" s="1"/>
      <c r="J658" s="1"/>
      <c r="K658" s="1"/>
      <c r="L658" s="1"/>
    </row>
    <row r="659" spans="1:12" s="7" customFormat="1" ht="17.25">
      <c r="A659" s="21" t="s">
        <v>51</v>
      </c>
      <c r="B659" s="57"/>
      <c r="C659" s="57"/>
      <c r="D659" s="57"/>
      <c r="E659" s="57"/>
      <c r="F659" s="70"/>
      <c r="G659" s="57"/>
      <c r="H659" s="1"/>
      <c r="I659" s="1"/>
      <c r="J659" s="1"/>
      <c r="K659" s="1"/>
      <c r="L659" s="1"/>
    </row>
    <row r="660" spans="1:12" s="7" customFormat="1" ht="17.25">
      <c r="A660" s="22" t="s">
        <v>52</v>
      </c>
      <c r="B660" s="65">
        <v>90229</v>
      </c>
      <c r="C660" s="65">
        <v>94400</v>
      </c>
      <c r="D660" s="65">
        <v>24100</v>
      </c>
      <c r="E660" s="65">
        <v>25000</v>
      </c>
      <c r="F660" s="127" t="s">
        <v>470</v>
      </c>
      <c r="G660" s="65">
        <v>20000</v>
      </c>
      <c r="H660" s="1"/>
      <c r="I660" s="1"/>
      <c r="J660" s="1"/>
      <c r="K660" s="1"/>
      <c r="L660" s="1"/>
    </row>
    <row r="661" spans="1:12" s="7" customFormat="1" ht="17.25">
      <c r="A661" s="24" t="s">
        <v>56</v>
      </c>
      <c r="B661" s="66">
        <v>19000</v>
      </c>
      <c r="C661" s="66">
        <v>26000</v>
      </c>
      <c r="D661" s="66">
        <f>11500-900</f>
        <v>10600</v>
      </c>
      <c r="E661" s="66">
        <v>10000</v>
      </c>
      <c r="F661" s="130" t="s">
        <v>320</v>
      </c>
      <c r="G661" s="66">
        <v>20000</v>
      </c>
      <c r="H661" s="1"/>
      <c r="I661" s="1"/>
      <c r="J661" s="1"/>
      <c r="K661" s="1"/>
      <c r="L661" s="1"/>
    </row>
    <row r="662" spans="1:12" s="7" customFormat="1" ht="17.25">
      <c r="A662" s="22" t="s">
        <v>57</v>
      </c>
      <c r="B662" s="65">
        <v>101000</v>
      </c>
      <c r="C662" s="65">
        <v>120000</v>
      </c>
      <c r="D662" s="65">
        <f>100000-7111</f>
        <v>92889</v>
      </c>
      <c r="E662" s="65">
        <v>40000</v>
      </c>
      <c r="F662" s="75" t="s">
        <v>322</v>
      </c>
      <c r="G662" s="65">
        <v>40000</v>
      </c>
      <c r="H662" s="1"/>
      <c r="I662" s="1"/>
      <c r="J662" s="1"/>
      <c r="K662" s="1"/>
      <c r="L662" s="1"/>
    </row>
    <row r="663" spans="1:12" s="7" customFormat="1" ht="17.25">
      <c r="A663" s="26" t="s">
        <v>58</v>
      </c>
      <c r="B663" s="65">
        <v>80000</v>
      </c>
      <c r="C663" s="65">
        <v>0</v>
      </c>
      <c r="D663" s="65">
        <f>50000-500</f>
        <v>49500</v>
      </c>
      <c r="E663" s="65">
        <v>50000</v>
      </c>
      <c r="F663" s="59">
        <v>0.1</v>
      </c>
      <c r="G663" s="65">
        <v>55000</v>
      </c>
      <c r="H663" s="1"/>
      <c r="I663" s="1"/>
      <c r="J663" s="1"/>
      <c r="K663" s="1"/>
      <c r="L663" s="1"/>
    </row>
    <row r="664" spans="1:12" ht="17.25">
      <c r="A664" s="27" t="s">
        <v>59</v>
      </c>
      <c r="B664" s="66">
        <v>0</v>
      </c>
      <c r="C664" s="66">
        <v>0</v>
      </c>
      <c r="D664" s="66">
        <v>0</v>
      </c>
      <c r="E664" s="66">
        <v>10000</v>
      </c>
      <c r="F664" s="74">
        <v>0</v>
      </c>
      <c r="G664" s="66">
        <v>10000</v>
      </c>
      <c r="H664" s="1"/>
      <c r="I664" s="1"/>
      <c r="J664" s="1"/>
      <c r="K664" s="1"/>
      <c r="L664" s="1"/>
    </row>
    <row r="665" spans="1:12" ht="17.25">
      <c r="A665" s="16" t="s">
        <v>60</v>
      </c>
      <c r="B665" s="93">
        <f>SUM(B660:B664)</f>
        <v>290229</v>
      </c>
      <c r="C665" s="93">
        <f>SUM(C660:C664)</f>
        <v>240400</v>
      </c>
      <c r="D665" s="93">
        <f>SUM(D660:D664)</f>
        <v>177089</v>
      </c>
      <c r="E665" s="93">
        <f>SUM(E660:E664)</f>
        <v>135000</v>
      </c>
      <c r="F665" s="73"/>
      <c r="G665" s="93">
        <f>SUM(G660:G664)</f>
        <v>145000</v>
      </c>
      <c r="H665" s="1"/>
      <c r="I665" s="1"/>
      <c r="J665" s="1"/>
      <c r="K665" s="1"/>
      <c r="L665" s="1"/>
    </row>
    <row r="666" spans="1:12" ht="17.25">
      <c r="A666" s="16" t="s">
        <v>68</v>
      </c>
      <c r="B666" s="92">
        <f>B648+B658+B665</f>
        <v>791668.31</v>
      </c>
      <c r="C666" s="92">
        <f>C648+C658+C665</f>
        <v>2941704.58</v>
      </c>
      <c r="D666" s="92">
        <f>D648+D658+D665</f>
        <v>642330.62</v>
      </c>
      <c r="E666" s="92">
        <f>E648+E658+E665</f>
        <v>514195</v>
      </c>
      <c r="F666" s="88"/>
      <c r="G666" s="92">
        <f>G648+G658+G665</f>
        <v>431000</v>
      </c>
      <c r="H666" s="1"/>
      <c r="I666" s="1"/>
      <c r="J666" s="1"/>
      <c r="K666" s="1"/>
      <c r="L666" s="1"/>
    </row>
    <row r="667" spans="1:12" ht="17.25">
      <c r="A667" s="21" t="s">
        <v>69</v>
      </c>
      <c r="B667" s="83"/>
      <c r="C667" s="83"/>
      <c r="D667" s="83"/>
      <c r="E667" s="83"/>
      <c r="F667" s="76"/>
      <c r="G667" s="83"/>
      <c r="H667" s="1"/>
      <c r="I667" s="1"/>
      <c r="J667" s="1"/>
      <c r="K667" s="1"/>
      <c r="L667" s="1"/>
    </row>
    <row r="668" spans="1:12" ht="17.25">
      <c r="A668" s="21" t="s">
        <v>70</v>
      </c>
      <c r="B668" s="65"/>
      <c r="C668" s="65"/>
      <c r="D668" s="65"/>
      <c r="E668" s="65"/>
      <c r="F668" s="68"/>
      <c r="G668" s="65"/>
      <c r="H668" s="1"/>
      <c r="I668" s="1"/>
      <c r="J668" s="1"/>
      <c r="K668" s="1"/>
      <c r="L668" s="1"/>
    </row>
    <row r="669" spans="1:12" ht="17.25">
      <c r="A669" s="22" t="s">
        <v>127</v>
      </c>
      <c r="B669" s="66">
        <v>36990</v>
      </c>
      <c r="C669" s="66">
        <v>49295</v>
      </c>
      <c r="D669" s="66">
        <v>51238.44</v>
      </c>
      <c r="E669" s="66">
        <v>80000</v>
      </c>
      <c r="F669" s="105" t="s">
        <v>507</v>
      </c>
      <c r="G669" s="66">
        <v>50000</v>
      </c>
      <c r="H669" s="1"/>
      <c r="I669" s="1"/>
      <c r="J669" s="1"/>
      <c r="K669" s="1"/>
      <c r="L669" s="1"/>
    </row>
    <row r="670" spans="1:12" ht="17.25">
      <c r="A670" s="16" t="s">
        <v>82</v>
      </c>
      <c r="B670" s="97">
        <v>36990</v>
      </c>
      <c r="C670" s="97">
        <v>49295</v>
      </c>
      <c r="D670" s="97">
        <v>51238.44</v>
      </c>
      <c r="E670" s="97">
        <v>80000</v>
      </c>
      <c r="F670" s="98"/>
      <c r="G670" s="97">
        <v>50000</v>
      </c>
    </row>
    <row r="671" spans="1:12" ht="17.25">
      <c r="A671" s="37" t="s">
        <v>88</v>
      </c>
      <c r="B671" s="93">
        <v>36990</v>
      </c>
      <c r="C671" s="93">
        <v>49295</v>
      </c>
      <c r="D671" s="93">
        <v>51238.44</v>
      </c>
      <c r="E671" s="93">
        <v>80000</v>
      </c>
      <c r="F671" s="73"/>
      <c r="G671" s="93">
        <v>50000</v>
      </c>
    </row>
    <row r="672" spans="1:12" ht="17.25">
      <c r="A672" s="16" t="s">
        <v>206</v>
      </c>
      <c r="B672" s="92">
        <f>B640+B666+B671</f>
        <v>1832843.31</v>
      </c>
      <c r="C672" s="92">
        <f>C640+C666+C671</f>
        <v>4264989.58</v>
      </c>
      <c r="D672" s="92">
        <f>D640+D666+D671</f>
        <v>2270509.06</v>
      </c>
      <c r="E672" s="92">
        <f>E640+E666+E671</f>
        <v>2302875</v>
      </c>
      <c r="F672" s="88"/>
      <c r="G672" s="92">
        <f>G640+G666+G671</f>
        <v>2125240</v>
      </c>
    </row>
    <row r="673" spans="1:13" ht="17.25">
      <c r="A673" s="21" t="s">
        <v>207</v>
      </c>
      <c r="B673" s="65"/>
      <c r="C673" s="65"/>
      <c r="D673" s="65"/>
      <c r="E673" s="65"/>
      <c r="F673" s="68"/>
      <c r="G673" s="65"/>
    </row>
    <row r="674" spans="1:13" ht="17.25">
      <c r="A674" s="21" t="s">
        <v>33</v>
      </c>
      <c r="B674" s="66"/>
      <c r="C674" s="66"/>
      <c r="D674" s="66"/>
      <c r="E674" s="66"/>
      <c r="F674" s="69"/>
      <c r="G674" s="66"/>
    </row>
    <row r="675" spans="1:13" ht="17.25">
      <c r="A675" s="21" t="s">
        <v>41</v>
      </c>
      <c r="B675" s="66"/>
      <c r="C675" s="66"/>
      <c r="D675" s="66"/>
      <c r="E675" s="66"/>
      <c r="F675" s="114"/>
      <c r="G675" s="66"/>
    </row>
    <row r="676" spans="1:13" ht="17.25">
      <c r="A676" s="22" t="s">
        <v>42</v>
      </c>
      <c r="B676" s="66">
        <v>432</v>
      </c>
      <c r="C676" s="66">
        <v>0</v>
      </c>
      <c r="D676" s="66">
        <v>0</v>
      </c>
      <c r="E676" s="66">
        <v>0</v>
      </c>
      <c r="F676" s="122">
        <v>1</v>
      </c>
      <c r="G676" s="66">
        <v>30000</v>
      </c>
    </row>
    <row r="677" spans="1:13" ht="17.25">
      <c r="A677" s="24" t="s">
        <v>49</v>
      </c>
      <c r="B677" s="66">
        <v>0</v>
      </c>
      <c r="C677" s="66">
        <v>0</v>
      </c>
      <c r="D677" s="66">
        <v>0</v>
      </c>
      <c r="E677" s="66">
        <v>0</v>
      </c>
      <c r="F677" s="122">
        <v>1</v>
      </c>
      <c r="G677" s="66">
        <v>15000</v>
      </c>
    </row>
    <row r="678" spans="1:13" ht="17.25">
      <c r="A678" s="32" t="s">
        <v>50</v>
      </c>
      <c r="B678" s="102">
        <v>432</v>
      </c>
      <c r="C678" s="102">
        <v>0</v>
      </c>
      <c r="D678" s="102">
        <v>0</v>
      </c>
      <c r="E678" s="102">
        <v>0</v>
      </c>
      <c r="F678" s="101"/>
      <c r="G678" s="102">
        <v>45000</v>
      </c>
    </row>
    <row r="679" spans="1:13" ht="17.25">
      <c r="A679" s="47"/>
      <c r="B679" s="125"/>
      <c r="C679" s="125"/>
      <c r="D679" s="125"/>
      <c r="E679" s="125"/>
      <c r="F679" s="126"/>
      <c r="G679" s="125"/>
    </row>
    <row r="680" spans="1:13" ht="17.25">
      <c r="A680" s="25"/>
      <c r="B680" s="123"/>
      <c r="C680" s="123"/>
      <c r="D680" s="123"/>
      <c r="E680" s="123"/>
      <c r="F680" s="124"/>
      <c r="G680" s="123"/>
    </row>
    <row r="681" spans="1:13" s="34" customFormat="1" ht="17.25">
      <c r="A681" s="199"/>
      <c r="B681" s="199" t="s">
        <v>3</v>
      </c>
      <c r="C681" s="199"/>
      <c r="D681" s="199"/>
      <c r="E681" s="199" t="s">
        <v>4</v>
      </c>
      <c r="F681" s="199"/>
      <c r="G681" s="199"/>
      <c r="H681" s="33"/>
      <c r="I681" s="33"/>
      <c r="J681" s="33"/>
      <c r="K681" s="33"/>
      <c r="L681" s="33"/>
      <c r="M681" s="33"/>
    </row>
    <row r="682" spans="1:13" s="34" customFormat="1" ht="17.25">
      <c r="A682" s="199"/>
      <c r="B682" s="159" t="s">
        <v>5</v>
      </c>
      <c r="C682" s="159" t="s">
        <v>6</v>
      </c>
      <c r="D682" s="159" t="s">
        <v>7</v>
      </c>
      <c r="E682" s="159" t="s">
        <v>9</v>
      </c>
      <c r="F682" s="159" t="s">
        <v>8</v>
      </c>
      <c r="G682" s="159" t="s">
        <v>417</v>
      </c>
      <c r="H682" s="33"/>
      <c r="I682" s="33"/>
      <c r="J682" s="33"/>
      <c r="K682" s="33"/>
      <c r="L682" s="33"/>
      <c r="M682" s="33"/>
    </row>
    <row r="683" spans="1:13" ht="17.25">
      <c r="A683" s="21" t="s">
        <v>51</v>
      </c>
      <c r="B683" s="92"/>
      <c r="C683" s="92"/>
      <c r="D683" s="92"/>
      <c r="E683" s="92"/>
      <c r="F683" s="88"/>
      <c r="G683" s="92"/>
    </row>
    <row r="684" spans="1:13" s="7" customFormat="1" ht="17.25">
      <c r="A684" s="22" t="s">
        <v>53</v>
      </c>
      <c r="B684" s="65">
        <v>100120</v>
      </c>
      <c r="C684" s="65">
        <v>7743</v>
      </c>
      <c r="D684" s="65">
        <v>71931</v>
      </c>
      <c r="E684" s="65">
        <v>110000</v>
      </c>
      <c r="F684" s="127" t="s">
        <v>508</v>
      </c>
      <c r="G684" s="65">
        <v>90000</v>
      </c>
      <c r="H684" s="1"/>
      <c r="I684" s="1"/>
      <c r="J684" s="1"/>
      <c r="K684" s="1"/>
      <c r="L684" s="1"/>
      <c r="M684" s="1"/>
    </row>
    <row r="685" spans="1:13" s="7" customFormat="1" ht="17.25">
      <c r="A685" s="22" t="s">
        <v>55</v>
      </c>
      <c r="B685" s="65">
        <v>0</v>
      </c>
      <c r="C685" s="65">
        <v>0</v>
      </c>
      <c r="D685" s="65">
        <v>0</v>
      </c>
      <c r="E685" s="65">
        <v>0</v>
      </c>
      <c r="F685" s="127">
        <v>1</v>
      </c>
      <c r="G685" s="65">
        <v>90000</v>
      </c>
      <c r="H685" s="1"/>
      <c r="I685" s="1"/>
      <c r="J685" s="1"/>
      <c r="K685" s="1"/>
      <c r="L685" s="1"/>
      <c r="M685" s="1"/>
    </row>
    <row r="686" spans="1:13" s="7" customFormat="1" ht="17.25">
      <c r="A686" s="22" t="s">
        <v>56</v>
      </c>
      <c r="B686" s="65">
        <v>0</v>
      </c>
      <c r="C686" s="65">
        <v>0</v>
      </c>
      <c r="D686" s="65">
        <v>0</v>
      </c>
      <c r="E686" s="65">
        <v>12000</v>
      </c>
      <c r="F686" s="119" t="s">
        <v>509</v>
      </c>
      <c r="G686" s="65">
        <v>35000</v>
      </c>
      <c r="H686" s="1"/>
      <c r="I686" s="1"/>
      <c r="J686" s="1"/>
      <c r="K686" s="1"/>
      <c r="L686" s="1"/>
      <c r="M686" s="1"/>
    </row>
    <row r="687" spans="1:13" s="7" customFormat="1" ht="17.25">
      <c r="A687" s="24" t="s">
        <v>57</v>
      </c>
      <c r="B687" s="65">
        <v>0</v>
      </c>
      <c r="C687" s="65">
        <v>0</v>
      </c>
      <c r="D687" s="65">
        <v>0</v>
      </c>
      <c r="E687" s="65">
        <v>40000</v>
      </c>
      <c r="F687" s="59">
        <v>1</v>
      </c>
      <c r="G687" s="65">
        <v>40000</v>
      </c>
      <c r="H687" s="1"/>
      <c r="I687" s="1"/>
      <c r="J687" s="1"/>
      <c r="K687" s="1"/>
      <c r="L687" s="1"/>
      <c r="M687" s="1"/>
    </row>
    <row r="688" spans="1:13" s="7" customFormat="1" ht="17.25">
      <c r="A688" s="32" t="s">
        <v>60</v>
      </c>
      <c r="B688" s="92">
        <f>SUM(B684:B687)</f>
        <v>100120</v>
      </c>
      <c r="C688" s="92">
        <f>SUM(C684:C687)</f>
        <v>7743</v>
      </c>
      <c r="D688" s="92">
        <f>SUM(D684:D687)</f>
        <v>71931</v>
      </c>
      <c r="E688" s="92">
        <f>SUM(E684:E687)</f>
        <v>162000</v>
      </c>
      <c r="F688" s="88"/>
      <c r="G688" s="92">
        <f>SUM(G684:G687)</f>
        <v>255000</v>
      </c>
      <c r="H688" s="1"/>
      <c r="I688" s="1"/>
      <c r="J688" s="1"/>
      <c r="K688" s="1"/>
      <c r="L688" s="1"/>
      <c r="M688" s="1"/>
    </row>
    <row r="689" spans="1:13" s="7" customFormat="1" ht="17.25">
      <c r="A689" s="32" t="s">
        <v>68</v>
      </c>
      <c r="B689" s="102">
        <f>100120+432</f>
        <v>100552</v>
      </c>
      <c r="C689" s="102">
        <v>7743</v>
      </c>
      <c r="D689" s="102">
        <f>D688</f>
        <v>71931</v>
      </c>
      <c r="E689" s="102">
        <f>E688</f>
        <v>162000</v>
      </c>
      <c r="F689" s="101"/>
      <c r="G689" s="102">
        <f>G678+G688</f>
        <v>300000</v>
      </c>
      <c r="H689" s="1"/>
      <c r="I689" s="1"/>
      <c r="J689" s="1"/>
      <c r="K689" s="1"/>
      <c r="L689" s="1"/>
      <c r="M689" s="1"/>
    </row>
    <row r="690" spans="1:13" s="7" customFormat="1" ht="17.25">
      <c r="A690" s="23" t="s">
        <v>69</v>
      </c>
      <c r="B690" s="19"/>
      <c r="C690" s="19"/>
      <c r="D690" s="19"/>
      <c r="E690" s="19"/>
      <c r="F690" s="53"/>
      <c r="G690" s="19"/>
      <c r="H690" s="1"/>
      <c r="I690" s="1"/>
      <c r="J690" s="1"/>
      <c r="K690" s="1"/>
      <c r="L690" s="1"/>
      <c r="M690" s="1"/>
    </row>
    <row r="691" spans="1:13" s="7" customFormat="1" ht="17.25">
      <c r="A691" s="38" t="s">
        <v>70</v>
      </c>
      <c r="B691" s="18"/>
      <c r="C691" s="18"/>
      <c r="D691" s="18"/>
      <c r="E691" s="18"/>
      <c r="F691" s="39"/>
      <c r="G691" s="18"/>
      <c r="H691" s="1"/>
      <c r="I691" s="1"/>
      <c r="J691" s="1"/>
      <c r="K691" s="1"/>
      <c r="L691" s="1"/>
      <c r="M691" s="1"/>
    </row>
    <row r="692" spans="1:13" s="7" customFormat="1" ht="17.25">
      <c r="A692" s="22" t="s">
        <v>127</v>
      </c>
      <c r="B692" s="65">
        <v>0</v>
      </c>
      <c r="C692" s="65">
        <v>0</v>
      </c>
      <c r="D692" s="65">
        <v>0</v>
      </c>
      <c r="E692" s="65">
        <v>30000</v>
      </c>
      <c r="F692" s="59">
        <v>1.5</v>
      </c>
      <c r="G692" s="65">
        <v>75000</v>
      </c>
      <c r="H692" s="1"/>
      <c r="I692" s="1"/>
      <c r="J692" s="1"/>
      <c r="K692" s="1"/>
      <c r="L692" s="1"/>
      <c r="M692" s="1"/>
    </row>
    <row r="693" spans="1:13" s="7" customFormat="1" ht="17.25">
      <c r="A693" s="16" t="s">
        <v>82</v>
      </c>
      <c r="B693" s="92">
        <v>0</v>
      </c>
      <c r="C693" s="92">
        <v>0</v>
      </c>
      <c r="D693" s="92">
        <v>0</v>
      </c>
      <c r="E693" s="92">
        <v>30000</v>
      </c>
      <c r="F693" s="88"/>
      <c r="G693" s="92">
        <f>G692</f>
        <v>75000</v>
      </c>
      <c r="H693" s="1"/>
      <c r="I693" s="1"/>
      <c r="J693" s="1"/>
      <c r="K693" s="1"/>
      <c r="L693" s="1"/>
      <c r="M693" s="1"/>
    </row>
    <row r="694" spans="1:13" s="7" customFormat="1" ht="17.25">
      <c r="A694" s="21" t="s">
        <v>152</v>
      </c>
      <c r="B694" s="83"/>
      <c r="C694" s="83"/>
      <c r="D694" s="83"/>
      <c r="E694" s="83"/>
      <c r="F694" s="76"/>
      <c r="G694" s="83"/>
      <c r="H694" s="1"/>
      <c r="I694" s="1"/>
      <c r="J694" s="1"/>
      <c r="K694" s="1"/>
      <c r="L694" s="1"/>
      <c r="M694" s="1"/>
    </row>
    <row r="695" spans="1:13" s="7" customFormat="1" ht="17.25">
      <c r="A695" s="26" t="s">
        <v>156</v>
      </c>
      <c r="B695" s="65"/>
      <c r="C695" s="65"/>
      <c r="D695" s="65"/>
      <c r="E695" s="65"/>
      <c r="F695" s="68"/>
      <c r="G695" s="65"/>
      <c r="H695" s="1"/>
      <c r="I695" s="1"/>
      <c r="J695" s="1"/>
      <c r="K695" s="1"/>
      <c r="L695" s="1"/>
      <c r="M695" s="1"/>
    </row>
    <row r="696" spans="1:13" s="7" customFormat="1" ht="17.25">
      <c r="A696" s="27" t="s">
        <v>510</v>
      </c>
      <c r="B696" s="200">
        <v>0</v>
      </c>
      <c r="C696" s="200">
        <v>0</v>
      </c>
      <c r="D696" s="200">
        <v>0</v>
      </c>
      <c r="E696" s="200">
        <v>0</v>
      </c>
      <c r="F696" s="203">
        <v>1</v>
      </c>
      <c r="G696" s="200">
        <v>500000</v>
      </c>
      <c r="H696" s="1"/>
      <c r="I696" s="1"/>
      <c r="J696" s="1"/>
      <c r="K696" s="1"/>
      <c r="L696" s="1"/>
      <c r="M696" s="1"/>
    </row>
    <row r="697" spans="1:13" s="7" customFormat="1" ht="17.25">
      <c r="A697" s="24" t="s">
        <v>511</v>
      </c>
      <c r="B697" s="201"/>
      <c r="C697" s="201"/>
      <c r="D697" s="201"/>
      <c r="E697" s="201"/>
      <c r="F697" s="201"/>
      <c r="G697" s="201"/>
      <c r="H697" s="1"/>
      <c r="I697" s="1"/>
      <c r="J697" s="1"/>
      <c r="K697" s="1"/>
      <c r="L697" s="1"/>
    </row>
    <row r="698" spans="1:13" s="7" customFormat="1" ht="17.25">
      <c r="A698" s="27" t="s">
        <v>510</v>
      </c>
      <c r="B698" s="200">
        <v>0</v>
      </c>
      <c r="C698" s="200">
        <v>0</v>
      </c>
      <c r="D698" s="200">
        <v>0</v>
      </c>
      <c r="E698" s="200">
        <v>0</v>
      </c>
      <c r="F698" s="203">
        <v>1</v>
      </c>
      <c r="G698" s="200">
        <v>35000</v>
      </c>
      <c r="H698" s="1"/>
      <c r="I698" s="1"/>
      <c r="J698" s="1"/>
      <c r="K698" s="1"/>
      <c r="L698" s="1"/>
      <c r="M698" s="1"/>
    </row>
    <row r="699" spans="1:13" s="7" customFormat="1" ht="17.25">
      <c r="A699" s="24" t="s">
        <v>512</v>
      </c>
      <c r="B699" s="201"/>
      <c r="C699" s="201"/>
      <c r="D699" s="201"/>
      <c r="E699" s="201"/>
      <c r="F699" s="201"/>
      <c r="G699" s="201"/>
      <c r="H699" s="1"/>
      <c r="I699" s="1"/>
      <c r="J699" s="1"/>
      <c r="K699" s="1"/>
      <c r="L699" s="1"/>
    </row>
    <row r="700" spans="1:13" s="7" customFormat="1" ht="17.25">
      <c r="A700" s="27" t="s">
        <v>510</v>
      </c>
      <c r="B700" s="200">
        <v>0</v>
      </c>
      <c r="C700" s="200">
        <v>0</v>
      </c>
      <c r="D700" s="200">
        <v>0</v>
      </c>
      <c r="E700" s="200">
        <v>0</v>
      </c>
      <c r="F700" s="203">
        <v>1</v>
      </c>
      <c r="G700" s="200">
        <v>72000</v>
      </c>
      <c r="H700" s="1"/>
      <c r="I700" s="1"/>
      <c r="J700" s="1"/>
      <c r="K700" s="1"/>
      <c r="L700" s="1"/>
      <c r="M700" s="1"/>
    </row>
    <row r="701" spans="1:13" s="7" customFormat="1" ht="17.25">
      <c r="A701" s="24" t="s">
        <v>513</v>
      </c>
      <c r="B701" s="201"/>
      <c r="C701" s="201"/>
      <c r="D701" s="201"/>
      <c r="E701" s="201"/>
      <c r="F701" s="201"/>
      <c r="G701" s="201"/>
      <c r="H701" s="1"/>
      <c r="I701" s="1"/>
      <c r="J701" s="1"/>
      <c r="K701" s="1"/>
      <c r="L701" s="1"/>
    </row>
    <row r="702" spans="1:13" s="7" customFormat="1" ht="17.25">
      <c r="A702" s="27" t="s">
        <v>510</v>
      </c>
      <c r="B702" s="200">
        <v>0</v>
      </c>
      <c r="C702" s="200">
        <v>0</v>
      </c>
      <c r="D702" s="200">
        <v>0</v>
      </c>
      <c r="E702" s="200">
        <v>0</v>
      </c>
      <c r="F702" s="203">
        <v>1</v>
      </c>
      <c r="G702" s="200">
        <v>500000</v>
      </c>
      <c r="H702" s="1"/>
      <c r="I702" s="1"/>
      <c r="J702" s="1"/>
      <c r="K702" s="1"/>
      <c r="L702" s="1"/>
      <c r="M702" s="1"/>
    </row>
    <row r="703" spans="1:13" s="7" customFormat="1" ht="17.25">
      <c r="A703" s="24" t="s">
        <v>514</v>
      </c>
      <c r="B703" s="201"/>
      <c r="C703" s="201"/>
      <c r="D703" s="201"/>
      <c r="E703" s="201"/>
      <c r="F703" s="201"/>
      <c r="G703" s="201"/>
      <c r="H703" s="1"/>
      <c r="I703" s="1"/>
      <c r="J703" s="1"/>
      <c r="K703" s="1"/>
      <c r="L703" s="1"/>
    </row>
    <row r="704" spans="1:13" s="7" customFormat="1" ht="17.25">
      <c r="A704" s="27" t="s">
        <v>510</v>
      </c>
      <c r="B704" s="200">
        <v>0</v>
      </c>
      <c r="C704" s="200">
        <v>0</v>
      </c>
      <c r="D704" s="200">
        <v>0</v>
      </c>
      <c r="E704" s="200">
        <v>0</v>
      </c>
      <c r="F704" s="203">
        <v>1</v>
      </c>
      <c r="G704" s="200">
        <v>24000</v>
      </c>
      <c r="H704" s="1"/>
      <c r="I704" s="1"/>
      <c r="J704" s="1"/>
      <c r="K704" s="1"/>
      <c r="L704" s="1"/>
      <c r="M704" s="1"/>
    </row>
    <row r="705" spans="1:13" s="7" customFormat="1" ht="17.25">
      <c r="A705" s="24" t="s">
        <v>515</v>
      </c>
      <c r="B705" s="201"/>
      <c r="C705" s="201"/>
      <c r="D705" s="201"/>
      <c r="E705" s="201"/>
      <c r="F705" s="201"/>
      <c r="G705" s="201"/>
      <c r="H705" s="1"/>
      <c r="I705" s="1"/>
      <c r="J705" s="1"/>
      <c r="K705" s="1"/>
      <c r="L705" s="1"/>
    </row>
    <row r="706" spans="1:13" s="7" customFormat="1" ht="17.25">
      <c r="A706" s="27" t="s">
        <v>510</v>
      </c>
      <c r="B706" s="200">
        <v>0</v>
      </c>
      <c r="C706" s="200">
        <v>0</v>
      </c>
      <c r="D706" s="200">
        <v>0</v>
      </c>
      <c r="E706" s="200">
        <v>0</v>
      </c>
      <c r="F706" s="203">
        <v>1</v>
      </c>
      <c r="G706" s="200">
        <v>120000</v>
      </c>
      <c r="H706" s="1"/>
      <c r="I706" s="1"/>
      <c r="J706" s="1"/>
      <c r="K706" s="1"/>
      <c r="L706" s="1"/>
      <c r="M706" s="1"/>
    </row>
    <row r="707" spans="1:13" s="7" customFormat="1" ht="17.25">
      <c r="A707" s="26" t="s">
        <v>516</v>
      </c>
      <c r="B707" s="210"/>
      <c r="C707" s="201"/>
      <c r="D707" s="201"/>
      <c r="E707" s="201"/>
      <c r="F707" s="204"/>
      <c r="G707" s="201"/>
      <c r="H707" s="1"/>
      <c r="I707" s="1"/>
      <c r="J707" s="1"/>
      <c r="K707" s="1"/>
      <c r="L707" s="1"/>
      <c r="M707" s="1"/>
    </row>
    <row r="708" spans="1:13" s="7" customFormat="1" ht="17.25">
      <c r="A708" s="26" t="s">
        <v>517</v>
      </c>
      <c r="B708" s="210"/>
      <c r="C708" s="201"/>
      <c r="D708" s="201"/>
      <c r="E708" s="201"/>
      <c r="F708" s="204"/>
      <c r="G708" s="201"/>
      <c r="H708" s="1"/>
      <c r="I708" s="1"/>
      <c r="J708" s="1"/>
      <c r="K708" s="1"/>
      <c r="L708" s="1"/>
      <c r="M708" s="1"/>
    </row>
    <row r="709" spans="1:13" s="7" customFormat="1" ht="17.25">
      <c r="A709" s="26" t="s">
        <v>329</v>
      </c>
      <c r="B709" s="201"/>
      <c r="C709" s="201"/>
      <c r="D709" s="201"/>
      <c r="E709" s="201"/>
      <c r="F709" s="201"/>
      <c r="G709" s="201"/>
      <c r="H709" s="1"/>
      <c r="I709" s="1"/>
      <c r="J709" s="1"/>
      <c r="K709" s="1"/>
      <c r="L709" s="1"/>
    </row>
    <row r="710" spans="1:13" s="7" customFormat="1" ht="17.25">
      <c r="A710" s="49"/>
      <c r="B710" s="86"/>
      <c r="C710" s="86"/>
      <c r="D710" s="86"/>
      <c r="E710" s="86"/>
      <c r="F710" s="103"/>
      <c r="G710" s="86"/>
      <c r="H710" s="1"/>
      <c r="I710" s="1"/>
      <c r="J710" s="1"/>
      <c r="K710" s="1"/>
      <c r="L710" s="1"/>
      <c r="M710" s="1"/>
    </row>
    <row r="711" spans="1:13" s="7" customFormat="1" ht="17.25">
      <c r="A711" s="40"/>
      <c r="B711" s="87"/>
      <c r="C711" s="87"/>
      <c r="D711" s="87"/>
      <c r="E711" s="87"/>
      <c r="F711" s="80"/>
      <c r="G711" s="87"/>
      <c r="H711" s="1"/>
      <c r="I711" s="1"/>
      <c r="J711" s="1"/>
      <c r="K711" s="1"/>
      <c r="L711" s="1"/>
      <c r="M711" s="1"/>
    </row>
    <row r="712" spans="1:13" s="34" customFormat="1" ht="17.25">
      <c r="A712" s="199"/>
      <c r="B712" s="199" t="s">
        <v>3</v>
      </c>
      <c r="C712" s="199"/>
      <c r="D712" s="199"/>
      <c r="E712" s="199" t="s">
        <v>4</v>
      </c>
      <c r="F712" s="199"/>
      <c r="G712" s="199"/>
      <c r="H712" s="33"/>
      <c r="I712" s="33"/>
      <c r="J712" s="33"/>
      <c r="K712" s="33"/>
      <c r="L712" s="33"/>
      <c r="M712" s="33"/>
    </row>
    <row r="713" spans="1:13" s="34" customFormat="1" ht="17.25">
      <c r="A713" s="199"/>
      <c r="B713" s="159" t="s">
        <v>5</v>
      </c>
      <c r="C713" s="159" t="s">
        <v>6</v>
      </c>
      <c r="D713" s="159" t="s">
        <v>7</v>
      </c>
      <c r="E713" s="159" t="s">
        <v>9</v>
      </c>
      <c r="F713" s="159" t="s">
        <v>8</v>
      </c>
      <c r="G713" s="159" t="s">
        <v>417</v>
      </c>
      <c r="H713" s="33"/>
      <c r="I713" s="33"/>
      <c r="J713" s="33"/>
      <c r="K713" s="33"/>
      <c r="L713" s="33"/>
      <c r="M713" s="33"/>
    </row>
    <row r="714" spans="1:13" s="7" customFormat="1" ht="17.25">
      <c r="A714" s="27" t="s">
        <v>518</v>
      </c>
      <c r="B714" s="200">
        <v>0</v>
      </c>
      <c r="C714" s="200">
        <v>0</v>
      </c>
      <c r="D714" s="200">
        <v>0</v>
      </c>
      <c r="E714" s="200">
        <v>0</v>
      </c>
      <c r="F714" s="203">
        <v>1</v>
      </c>
      <c r="G714" s="200">
        <v>90000</v>
      </c>
      <c r="H714" s="1"/>
      <c r="I714" s="1"/>
      <c r="J714" s="1"/>
      <c r="K714" s="1"/>
      <c r="L714" s="1"/>
      <c r="M714" s="1"/>
    </row>
    <row r="715" spans="1:13" s="7" customFormat="1" ht="17.25">
      <c r="A715" s="24" t="s">
        <v>519</v>
      </c>
      <c r="B715" s="201"/>
      <c r="C715" s="201"/>
      <c r="D715" s="201"/>
      <c r="E715" s="201"/>
      <c r="F715" s="201"/>
      <c r="G715" s="201"/>
      <c r="H715" s="1"/>
      <c r="I715" s="1"/>
      <c r="J715" s="1"/>
      <c r="K715" s="1"/>
      <c r="L715" s="1"/>
    </row>
    <row r="716" spans="1:13" s="7" customFormat="1" ht="17.25">
      <c r="A716" s="27" t="s">
        <v>520</v>
      </c>
      <c r="B716" s="200">
        <v>0</v>
      </c>
      <c r="C716" s="200">
        <v>0</v>
      </c>
      <c r="D716" s="200">
        <v>0</v>
      </c>
      <c r="E716" s="200">
        <v>0</v>
      </c>
      <c r="F716" s="203">
        <v>1</v>
      </c>
      <c r="G716" s="200">
        <v>130000</v>
      </c>
      <c r="H716" s="1"/>
      <c r="I716" s="1"/>
      <c r="J716" s="1"/>
      <c r="K716" s="1"/>
      <c r="L716" s="1"/>
      <c r="M716" s="1"/>
    </row>
    <row r="717" spans="1:13" s="7" customFormat="1" ht="17.25">
      <c r="A717" s="26" t="s">
        <v>521</v>
      </c>
      <c r="B717" s="210"/>
      <c r="C717" s="201"/>
      <c r="D717" s="201"/>
      <c r="E717" s="201"/>
      <c r="F717" s="204"/>
      <c r="G717" s="201"/>
      <c r="H717" s="1"/>
      <c r="I717" s="1"/>
      <c r="J717" s="1"/>
      <c r="K717" s="1"/>
      <c r="L717" s="1"/>
      <c r="M717" s="1"/>
    </row>
    <row r="718" spans="1:13" s="7" customFormat="1" ht="17.25">
      <c r="A718" s="24" t="s">
        <v>522</v>
      </c>
      <c r="B718" s="201"/>
      <c r="C718" s="201"/>
      <c r="D718" s="201"/>
      <c r="E718" s="201"/>
      <c r="F718" s="201"/>
      <c r="G718" s="201"/>
      <c r="H718" s="1"/>
      <c r="I718" s="1"/>
      <c r="J718" s="1"/>
      <c r="K718" s="1"/>
      <c r="L718" s="1"/>
    </row>
    <row r="719" spans="1:13" s="7" customFormat="1" ht="17.25">
      <c r="A719" s="27" t="s">
        <v>523</v>
      </c>
      <c r="B719" s="200">
        <v>0</v>
      </c>
      <c r="C719" s="200">
        <v>0</v>
      </c>
      <c r="D719" s="200">
        <v>0</v>
      </c>
      <c r="E719" s="200">
        <v>0</v>
      </c>
      <c r="F719" s="203">
        <v>1</v>
      </c>
      <c r="G719" s="200">
        <v>200000</v>
      </c>
      <c r="H719" s="1"/>
      <c r="I719" s="1"/>
      <c r="J719" s="1"/>
      <c r="K719" s="1"/>
      <c r="L719" s="1"/>
      <c r="M719" s="1"/>
    </row>
    <row r="720" spans="1:13" s="7" customFormat="1" ht="17.25">
      <c r="A720" s="24" t="s">
        <v>524</v>
      </c>
      <c r="B720" s="201"/>
      <c r="C720" s="201"/>
      <c r="D720" s="201"/>
      <c r="E720" s="201"/>
      <c r="F720" s="201"/>
      <c r="G720" s="201"/>
      <c r="H720" s="1"/>
      <c r="I720" s="1"/>
      <c r="J720" s="1"/>
      <c r="K720" s="1"/>
      <c r="L720" s="1"/>
    </row>
    <row r="721" spans="1:13" s="7" customFormat="1" ht="17.25">
      <c r="A721" s="27" t="s">
        <v>525</v>
      </c>
      <c r="B721" s="200">
        <v>0</v>
      </c>
      <c r="C721" s="200">
        <v>0</v>
      </c>
      <c r="D721" s="200">
        <v>0</v>
      </c>
      <c r="E721" s="200">
        <v>0</v>
      </c>
      <c r="F721" s="203">
        <v>1</v>
      </c>
      <c r="G721" s="200">
        <v>200000</v>
      </c>
      <c r="H721" s="1"/>
      <c r="I721" s="1"/>
      <c r="J721" s="1"/>
      <c r="K721" s="1"/>
      <c r="L721" s="1"/>
      <c r="M721" s="1"/>
    </row>
    <row r="722" spans="1:13" s="7" customFormat="1" ht="17.25">
      <c r="A722" s="26" t="s">
        <v>526</v>
      </c>
      <c r="B722" s="210"/>
      <c r="C722" s="201"/>
      <c r="D722" s="201"/>
      <c r="E722" s="201"/>
      <c r="F722" s="204"/>
      <c r="G722" s="201"/>
      <c r="H722" s="1"/>
      <c r="I722" s="1"/>
      <c r="J722" s="1"/>
      <c r="K722" s="1"/>
      <c r="L722" s="1"/>
      <c r="M722" s="1"/>
    </row>
    <row r="723" spans="1:13" s="7" customFormat="1" ht="17.25">
      <c r="A723" s="24" t="s">
        <v>527</v>
      </c>
      <c r="B723" s="201"/>
      <c r="C723" s="201"/>
      <c r="D723" s="201"/>
      <c r="E723" s="201"/>
      <c r="F723" s="201"/>
      <c r="G723" s="201"/>
      <c r="H723" s="1"/>
      <c r="I723" s="1"/>
      <c r="J723" s="1"/>
      <c r="K723" s="1"/>
      <c r="L723" s="1"/>
    </row>
    <row r="724" spans="1:13" s="7" customFormat="1" ht="17.25">
      <c r="A724" s="27" t="s">
        <v>528</v>
      </c>
      <c r="B724" s="200">
        <v>0</v>
      </c>
      <c r="C724" s="200">
        <v>0</v>
      </c>
      <c r="D724" s="200">
        <v>0</v>
      </c>
      <c r="E724" s="200">
        <v>0</v>
      </c>
      <c r="F724" s="203">
        <v>1</v>
      </c>
      <c r="G724" s="200">
        <v>200000</v>
      </c>
      <c r="H724" s="1"/>
      <c r="I724" s="1"/>
      <c r="J724" s="1"/>
      <c r="K724" s="1"/>
      <c r="L724" s="1"/>
      <c r="M724" s="1"/>
    </row>
    <row r="725" spans="1:13" s="7" customFormat="1" ht="17.25">
      <c r="A725" s="26" t="s">
        <v>529</v>
      </c>
      <c r="B725" s="210"/>
      <c r="C725" s="201"/>
      <c r="D725" s="201"/>
      <c r="E725" s="201"/>
      <c r="F725" s="204"/>
      <c r="G725" s="201"/>
      <c r="H725" s="1"/>
      <c r="I725" s="1"/>
      <c r="J725" s="1"/>
      <c r="K725" s="1"/>
      <c r="L725" s="1"/>
      <c r="M725" s="1"/>
    </row>
    <row r="726" spans="1:13" s="7" customFormat="1" ht="17.25">
      <c r="A726" s="24" t="s">
        <v>530</v>
      </c>
      <c r="B726" s="201"/>
      <c r="C726" s="201"/>
      <c r="D726" s="201"/>
      <c r="E726" s="201"/>
      <c r="F726" s="201"/>
      <c r="G726" s="201"/>
      <c r="H726" s="1"/>
      <c r="I726" s="1"/>
      <c r="J726" s="1"/>
      <c r="K726" s="1"/>
      <c r="L726" s="1"/>
    </row>
    <row r="727" spans="1:13" s="7" customFormat="1" ht="17.25">
      <c r="A727" s="27" t="s">
        <v>531</v>
      </c>
      <c r="B727" s="200">
        <v>0</v>
      </c>
      <c r="C727" s="200">
        <v>0</v>
      </c>
      <c r="D727" s="200">
        <v>0</v>
      </c>
      <c r="E727" s="200">
        <v>0</v>
      </c>
      <c r="F727" s="203">
        <v>1</v>
      </c>
      <c r="G727" s="200">
        <v>400000</v>
      </c>
      <c r="H727" s="1"/>
      <c r="I727" s="1"/>
      <c r="J727" s="1"/>
      <c r="K727" s="1"/>
      <c r="L727" s="1"/>
      <c r="M727" s="1"/>
    </row>
    <row r="728" spans="1:13" s="7" customFormat="1" ht="17.25">
      <c r="A728" s="24" t="s">
        <v>532</v>
      </c>
      <c r="B728" s="202"/>
      <c r="C728" s="202"/>
      <c r="D728" s="202"/>
      <c r="E728" s="202"/>
      <c r="F728" s="202"/>
      <c r="G728" s="202"/>
      <c r="H728" s="1"/>
      <c r="I728" s="1"/>
      <c r="J728" s="1"/>
      <c r="K728" s="1"/>
      <c r="L728" s="1"/>
    </row>
    <row r="729" spans="1:13" s="7" customFormat="1" ht="17.25">
      <c r="A729" s="27" t="s">
        <v>533</v>
      </c>
      <c r="B729" s="200">
        <v>0</v>
      </c>
      <c r="C729" s="200">
        <v>0</v>
      </c>
      <c r="D729" s="200">
        <v>0</v>
      </c>
      <c r="E729" s="200">
        <v>0</v>
      </c>
      <c r="F729" s="203">
        <v>1</v>
      </c>
      <c r="G729" s="200">
        <v>100000</v>
      </c>
      <c r="H729" s="1"/>
      <c r="I729" s="1"/>
      <c r="J729" s="1"/>
      <c r="K729" s="1"/>
      <c r="L729" s="1"/>
      <c r="M729" s="1"/>
    </row>
    <row r="730" spans="1:13" s="7" customFormat="1" ht="17.25">
      <c r="A730" s="24" t="s">
        <v>534</v>
      </c>
      <c r="B730" s="202"/>
      <c r="C730" s="202"/>
      <c r="D730" s="202"/>
      <c r="E730" s="202"/>
      <c r="F730" s="202"/>
      <c r="G730" s="202"/>
      <c r="H730" s="1"/>
      <c r="I730" s="1"/>
      <c r="J730" s="1"/>
      <c r="K730" s="1"/>
      <c r="L730" s="1"/>
    </row>
    <row r="731" spans="1:13" s="7" customFormat="1" ht="17.25">
      <c r="A731" s="27" t="s">
        <v>343</v>
      </c>
      <c r="B731" s="200">
        <v>0</v>
      </c>
      <c r="C731" s="200">
        <v>0</v>
      </c>
      <c r="D731" s="200">
        <v>0</v>
      </c>
      <c r="E731" s="200">
        <v>350000</v>
      </c>
      <c r="F731" s="203">
        <v>-1</v>
      </c>
      <c r="G731" s="200">
        <v>0</v>
      </c>
      <c r="H731" s="1"/>
      <c r="I731" s="1"/>
      <c r="J731" s="1"/>
      <c r="K731" s="1"/>
      <c r="L731" s="1"/>
      <c r="M731" s="1"/>
    </row>
    <row r="732" spans="1:13" s="7" customFormat="1" ht="17.25">
      <c r="A732" s="26" t="s">
        <v>344</v>
      </c>
      <c r="B732" s="201"/>
      <c r="C732" s="201"/>
      <c r="D732" s="201"/>
      <c r="E732" s="201"/>
      <c r="F732" s="201"/>
      <c r="G732" s="201"/>
      <c r="H732" s="1"/>
      <c r="I732" s="1"/>
      <c r="J732" s="1"/>
      <c r="K732" s="1"/>
      <c r="L732" s="1"/>
    </row>
    <row r="733" spans="1:13" s="7" customFormat="1" ht="17.25">
      <c r="A733" s="26" t="s">
        <v>345</v>
      </c>
      <c r="B733" s="202"/>
      <c r="C733" s="202"/>
      <c r="D733" s="202"/>
      <c r="E733" s="202"/>
      <c r="F733" s="202"/>
      <c r="G733" s="202"/>
      <c r="H733" s="1"/>
      <c r="I733" s="1"/>
      <c r="J733" s="1"/>
      <c r="K733" s="1"/>
      <c r="L733" s="1"/>
    </row>
    <row r="734" spans="1:13" s="7" customFormat="1" ht="17.25">
      <c r="A734" s="27" t="s">
        <v>343</v>
      </c>
      <c r="B734" s="200">
        <v>0</v>
      </c>
      <c r="C734" s="200">
        <v>279000</v>
      </c>
      <c r="D734" s="200">
        <v>0</v>
      </c>
      <c r="E734" s="200">
        <v>350000</v>
      </c>
      <c r="F734" s="203">
        <v>-1</v>
      </c>
      <c r="G734" s="200">
        <v>0</v>
      </c>
      <c r="H734" s="1"/>
      <c r="I734" s="1"/>
      <c r="J734" s="1"/>
      <c r="K734" s="1"/>
      <c r="L734" s="1"/>
    </row>
    <row r="735" spans="1:13" s="7" customFormat="1" ht="17.25">
      <c r="A735" s="26" t="s">
        <v>346</v>
      </c>
      <c r="B735" s="201"/>
      <c r="C735" s="201"/>
      <c r="D735" s="201"/>
      <c r="E735" s="201"/>
      <c r="F735" s="201"/>
      <c r="G735" s="201"/>
      <c r="H735" s="1"/>
      <c r="I735" s="1"/>
      <c r="J735" s="1"/>
      <c r="K735" s="1"/>
      <c r="L735" s="1"/>
    </row>
    <row r="736" spans="1:13" s="7" customFormat="1" ht="17.25">
      <c r="A736" s="26" t="s">
        <v>345</v>
      </c>
      <c r="B736" s="202"/>
      <c r="C736" s="202"/>
      <c r="D736" s="202"/>
      <c r="E736" s="202"/>
      <c r="F736" s="202"/>
      <c r="G736" s="202"/>
      <c r="H736" s="1"/>
      <c r="I736" s="1"/>
      <c r="J736" s="1"/>
      <c r="K736" s="1"/>
      <c r="L736" s="1"/>
    </row>
    <row r="737" spans="1:13" s="7" customFormat="1" ht="17.25">
      <c r="A737" s="27" t="s">
        <v>349</v>
      </c>
      <c r="B737" s="200">
        <v>604800</v>
      </c>
      <c r="C737" s="200">
        <v>0</v>
      </c>
      <c r="D737" s="200">
        <v>0</v>
      </c>
      <c r="E737" s="200">
        <v>100000</v>
      </c>
      <c r="F737" s="203">
        <v>-1</v>
      </c>
      <c r="G737" s="200">
        <v>0</v>
      </c>
      <c r="H737" s="1"/>
      <c r="I737" s="1"/>
      <c r="J737" s="1"/>
      <c r="K737" s="1"/>
      <c r="L737" s="1"/>
    </row>
    <row r="738" spans="1:13" s="7" customFormat="1" ht="17.25">
      <c r="A738" s="26" t="s">
        <v>348</v>
      </c>
      <c r="B738" s="201"/>
      <c r="C738" s="201"/>
      <c r="D738" s="201"/>
      <c r="E738" s="201"/>
      <c r="F738" s="201"/>
      <c r="G738" s="201"/>
      <c r="H738" s="1"/>
      <c r="I738" s="1"/>
      <c r="J738" s="1"/>
      <c r="K738" s="1"/>
      <c r="L738" s="1"/>
    </row>
    <row r="739" spans="1:13" s="7" customFormat="1" ht="17.25">
      <c r="A739" s="24" t="s">
        <v>347</v>
      </c>
      <c r="B739" s="202"/>
      <c r="C739" s="202"/>
      <c r="D739" s="202"/>
      <c r="E739" s="202"/>
      <c r="F739" s="202"/>
      <c r="G739" s="202"/>
      <c r="H739" s="1"/>
      <c r="I739" s="1"/>
      <c r="J739" s="1"/>
      <c r="K739" s="1"/>
      <c r="L739" s="1"/>
    </row>
    <row r="740" spans="1:13" s="7" customFormat="1" ht="17.25">
      <c r="A740" s="15" t="s">
        <v>160</v>
      </c>
      <c r="B740" s="93">
        <v>604800</v>
      </c>
      <c r="C740" s="93">
        <v>279000</v>
      </c>
      <c r="D740" s="93">
        <v>0</v>
      </c>
      <c r="E740" s="93">
        <f>SUM(E731:E739)</f>
        <v>800000</v>
      </c>
      <c r="F740" s="73"/>
      <c r="G740" s="93">
        <f>G696+G697+G698+G699+G700+G701+G702+G703+G704+G705+G706+G707+G708+G709+G714+G715+G716+G717+G718+G719+G720+G721+G722+G723+G724+G725+G726+G727+G728+G729+G730+G731</f>
        <v>2571000</v>
      </c>
      <c r="H740" s="1"/>
      <c r="I740" s="1"/>
      <c r="J740" s="1"/>
      <c r="K740" s="1"/>
      <c r="L740" s="1"/>
    </row>
    <row r="741" spans="1:13" s="7" customFormat="1" ht="17.25">
      <c r="A741" s="37" t="s">
        <v>88</v>
      </c>
      <c r="B741" s="93">
        <v>604800</v>
      </c>
      <c r="C741" s="93">
        <v>279000</v>
      </c>
      <c r="D741" s="93">
        <v>0</v>
      </c>
      <c r="E741" s="93">
        <v>830000</v>
      </c>
      <c r="F741" s="73"/>
      <c r="G741" s="93">
        <f>G740+G693</f>
        <v>2646000</v>
      </c>
      <c r="H741" s="1"/>
      <c r="I741" s="1"/>
      <c r="J741" s="1"/>
      <c r="K741" s="1"/>
      <c r="L741" s="1"/>
    </row>
    <row r="742" spans="1:13" ht="17.25">
      <c r="A742" s="16" t="s">
        <v>208</v>
      </c>
      <c r="B742" s="92">
        <f>B689+B741</f>
        <v>705352</v>
      </c>
      <c r="C742" s="92">
        <f>C689+C741</f>
        <v>286743</v>
      </c>
      <c r="D742" s="92">
        <f>D689+D741</f>
        <v>71931</v>
      </c>
      <c r="E742" s="92">
        <f>E689+E741</f>
        <v>992000</v>
      </c>
      <c r="F742" s="88"/>
      <c r="G742" s="92">
        <f>G689+G741</f>
        <v>2946000</v>
      </c>
      <c r="H742" s="1"/>
      <c r="I742" s="1"/>
      <c r="J742" s="1"/>
      <c r="K742" s="1"/>
      <c r="L742" s="1"/>
    </row>
    <row r="743" spans="1:13" s="34" customFormat="1" ht="17.25">
      <c r="A743" s="199"/>
      <c r="B743" s="199" t="s">
        <v>3</v>
      </c>
      <c r="C743" s="199"/>
      <c r="D743" s="199"/>
      <c r="E743" s="199" t="s">
        <v>4</v>
      </c>
      <c r="F743" s="199"/>
      <c r="G743" s="199"/>
      <c r="H743" s="33"/>
      <c r="I743" s="33"/>
      <c r="J743" s="33"/>
      <c r="K743" s="33"/>
      <c r="L743" s="33"/>
      <c r="M743" s="33"/>
    </row>
    <row r="744" spans="1:13" s="34" customFormat="1" ht="17.25">
      <c r="A744" s="199"/>
      <c r="B744" s="159" t="s">
        <v>5</v>
      </c>
      <c r="C744" s="159" t="s">
        <v>6</v>
      </c>
      <c r="D744" s="159" t="s">
        <v>7</v>
      </c>
      <c r="E744" s="159" t="s">
        <v>9</v>
      </c>
      <c r="F744" s="159" t="s">
        <v>8</v>
      </c>
      <c r="G744" s="159" t="s">
        <v>417</v>
      </c>
      <c r="H744" s="33"/>
      <c r="I744" s="33"/>
      <c r="J744" s="33"/>
      <c r="K744" s="33"/>
      <c r="L744" s="33"/>
      <c r="M744" s="33"/>
    </row>
    <row r="745" spans="1:13" ht="17.25">
      <c r="A745" s="21" t="s">
        <v>209</v>
      </c>
      <c r="B745" s="65"/>
      <c r="C745" s="65"/>
      <c r="D745" s="65"/>
      <c r="E745" s="65"/>
      <c r="F745" s="68"/>
      <c r="G745" s="65"/>
      <c r="H745" s="1"/>
      <c r="I745" s="1"/>
      <c r="J745" s="1"/>
      <c r="K745" s="1"/>
      <c r="L745" s="1"/>
    </row>
    <row r="746" spans="1:13" ht="17.25">
      <c r="A746" s="21" t="s">
        <v>105</v>
      </c>
      <c r="B746" s="66"/>
      <c r="C746" s="66"/>
      <c r="D746" s="66"/>
      <c r="E746" s="66"/>
      <c r="F746" s="69"/>
      <c r="G746" s="66"/>
      <c r="H746" s="1"/>
      <c r="I746" s="1"/>
      <c r="J746" s="1"/>
      <c r="K746" s="1"/>
      <c r="L746" s="1"/>
    </row>
    <row r="747" spans="1:13" ht="17.25">
      <c r="A747" s="21" t="s">
        <v>24</v>
      </c>
      <c r="B747" s="83"/>
      <c r="C747" s="83"/>
      <c r="D747" s="83"/>
      <c r="E747" s="83"/>
      <c r="F747" s="76"/>
      <c r="G747" s="83"/>
      <c r="H747" s="1"/>
      <c r="I747" s="1"/>
      <c r="J747" s="1"/>
      <c r="K747" s="1"/>
      <c r="L747" s="1"/>
    </row>
    <row r="748" spans="1:13" ht="17.25">
      <c r="A748" s="21" t="s">
        <v>210</v>
      </c>
      <c r="B748" s="65">
        <v>112554.9</v>
      </c>
      <c r="C748" s="65">
        <v>153000</v>
      </c>
      <c r="D748" s="65">
        <v>135720</v>
      </c>
      <c r="E748" s="65">
        <v>142560</v>
      </c>
      <c r="F748" s="127" t="s">
        <v>322</v>
      </c>
      <c r="G748" s="65">
        <v>142560</v>
      </c>
      <c r="H748" s="1"/>
      <c r="I748" s="1"/>
      <c r="J748" s="1"/>
      <c r="K748" s="1"/>
      <c r="L748" s="1"/>
    </row>
    <row r="749" spans="1:13" ht="17.25">
      <c r="A749" s="22" t="s">
        <v>211</v>
      </c>
      <c r="B749" s="66">
        <v>0</v>
      </c>
      <c r="C749" s="66">
        <v>0</v>
      </c>
      <c r="D749" s="66">
        <v>23700</v>
      </c>
      <c r="E749" s="66">
        <v>24000</v>
      </c>
      <c r="F749" s="105" t="s">
        <v>535</v>
      </c>
      <c r="G749" s="66">
        <v>16860</v>
      </c>
      <c r="H749" s="1"/>
      <c r="I749" s="1"/>
      <c r="J749" s="1"/>
      <c r="K749" s="1"/>
      <c r="L749" s="1"/>
    </row>
    <row r="750" spans="1:13" ht="17.25">
      <c r="A750" s="16" t="s">
        <v>107</v>
      </c>
      <c r="B750" s="97">
        <v>112554.9</v>
      </c>
      <c r="C750" s="97">
        <v>153000</v>
      </c>
      <c r="D750" s="97">
        <f>D748+D749</f>
        <v>159420</v>
      </c>
      <c r="E750" s="97">
        <v>166560</v>
      </c>
      <c r="F750" s="98"/>
      <c r="G750" s="97">
        <f>G748+G749</f>
        <v>159420</v>
      </c>
    </row>
    <row r="751" spans="1:13" ht="17.25">
      <c r="A751" s="37" t="s">
        <v>108</v>
      </c>
      <c r="B751" s="93">
        <v>112554.9</v>
      </c>
      <c r="C751" s="93">
        <v>153000</v>
      </c>
      <c r="D751" s="93">
        <f>D750</f>
        <v>159420</v>
      </c>
      <c r="E751" s="93">
        <v>166560</v>
      </c>
      <c r="F751" s="73"/>
      <c r="G751" s="93">
        <f>G750</f>
        <v>159420</v>
      </c>
    </row>
    <row r="752" spans="1:13" ht="17.25">
      <c r="A752" s="21" t="s">
        <v>33</v>
      </c>
      <c r="B752" s="18"/>
      <c r="C752" s="18"/>
      <c r="D752" s="18"/>
      <c r="E752" s="18"/>
      <c r="F752" s="18"/>
      <c r="G752" s="18"/>
    </row>
    <row r="753" spans="1:13" ht="17.25">
      <c r="A753" s="30" t="s">
        <v>34</v>
      </c>
      <c r="B753" s="18"/>
      <c r="C753" s="18"/>
      <c r="D753" s="18"/>
      <c r="E753" s="18"/>
      <c r="F753" s="18"/>
      <c r="G753" s="18"/>
    </row>
    <row r="754" spans="1:13" ht="17.25">
      <c r="A754" s="27" t="s">
        <v>301</v>
      </c>
      <c r="B754" s="200">
        <v>0</v>
      </c>
      <c r="C754" s="200">
        <v>0</v>
      </c>
      <c r="D754" s="200">
        <v>0</v>
      </c>
      <c r="E754" s="200">
        <v>0</v>
      </c>
      <c r="F754" s="208">
        <v>1</v>
      </c>
      <c r="G754" s="200">
        <v>5940</v>
      </c>
    </row>
    <row r="755" spans="1:13" ht="17.25">
      <c r="A755" s="24" t="s">
        <v>302</v>
      </c>
      <c r="B755" s="202"/>
      <c r="C755" s="202"/>
      <c r="D755" s="202"/>
      <c r="E755" s="202"/>
      <c r="F755" s="209"/>
      <c r="G755" s="202"/>
    </row>
    <row r="756" spans="1:13" ht="17.25">
      <c r="A756" s="32" t="s">
        <v>40</v>
      </c>
      <c r="B756" s="92">
        <v>0</v>
      </c>
      <c r="C756" s="92">
        <v>0</v>
      </c>
      <c r="D756" s="92">
        <v>0</v>
      </c>
      <c r="E756" s="92">
        <v>0</v>
      </c>
      <c r="F756" s="35"/>
      <c r="G756" s="92">
        <v>5940</v>
      </c>
    </row>
    <row r="757" spans="1:13" ht="17.25">
      <c r="A757" s="21" t="s">
        <v>41</v>
      </c>
      <c r="B757" s="19"/>
      <c r="C757" s="19"/>
      <c r="D757" s="19"/>
      <c r="E757" s="19"/>
      <c r="F757" s="19"/>
      <c r="G757" s="19"/>
    </row>
    <row r="758" spans="1:13" ht="17.25">
      <c r="A758" s="22" t="s">
        <v>42</v>
      </c>
      <c r="B758" s="66">
        <v>660000</v>
      </c>
      <c r="C758" s="66">
        <v>652500</v>
      </c>
      <c r="D758" s="66">
        <v>610725.81000000006</v>
      </c>
      <c r="E758" s="66">
        <v>580000</v>
      </c>
      <c r="F758" s="130" t="s">
        <v>539</v>
      </c>
      <c r="G758" s="66">
        <v>381000</v>
      </c>
    </row>
    <row r="759" spans="1:13" s="7" customFormat="1" ht="17.25">
      <c r="A759" s="27" t="s">
        <v>44</v>
      </c>
      <c r="B759" s="200"/>
      <c r="C759" s="200"/>
      <c r="D759" s="200"/>
      <c r="E759" s="200"/>
      <c r="F759" s="200"/>
      <c r="G759" s="200"/>
      <c r="H759" s="1"/>
      <c r="I759" s="1"/>
      <c r="J759" s="1"/>
      <c r="K759" s="1"/>
      <c r="L759" s="1"/>
      <c r="M759" s="1"/>
    </row>
    <row r="760" spans="1:13" s="7" customFormat="1" ht="17.25">
      <c r="A760" s="24" t="s">
        <v>308</v>
      </c>
      <c r="B760" s="202"/>
      <c r="C760" s="202"/>
      <c r="D760" s="202"/>
      <c r="E760" s="202"/>
      <c r="F760" s="202"/>
      <c r="G760" s="202"/>
      <c r="H760" s="1"/>
      <c r="I760" s="1"/>
      <c r="J760" s="1"/>
      <c r="K760" s="1"/>
      <c r="L760" s="1"/>
      <c r="M760" s="1"/>
    </row>
    <row r="761" spans="1:13" s="7" customFormat="1" ht="17.25">
      <c r="A761" s="27" t="s">
        <v>536</v>
      </c>
      <c r="B761" s="200">
        <v>0</v>
      </c>
      <c r="C761" s="200">
        <v>0</v>
      </c>
      <c r="D761" s="200">
        <v>0</v>
      </c>
      <c r="E761" s="200">
        <v>0</v>
      </c>
      <c r="F761" s="207" t="s">
        <v>320</v>
      </c>
      <c r="G761" s="200">
        <v>18000</v>
      </c>
      <c r="H761" s="1"/>
      <c r="I761" s="1"/>
      <c r="J761" s="1"/>
      <c r="K761" s="1"/>
      <c r="L761" s="1"/>
      <c r="M761" s="1"/>
    </row>
    <row r="762" spans="1:13" s="7" customFormat="1" ht="17.25">
      <c r="A762" s="104" t="s">
        <v>537</v>
      </c>
      <c r="B762" s="210"/>
      <c r="C762" s="201"/>
      <c r="D762" s="201"/>
      <c r="E762" s="201"/>
      <c r="F762" s="225"/>
      <c r="G762" s="201"/>
      <c r="H762" s="1"/>
      <c r="I762" s="1"/>
      <c r="J762" s="1"/>
      <c r="K762" s="1"/>
      <c r="L762" s="1"/>
      <c r="M762" s="1"/>
    </row>
    <row r="763" spans="1:13" s="7" customFormat="1" ht="17.25">
      <c r="A763" s="104" t="s">
        <v>538</v>
      </c>
      <c r="B763" s="202"/>
      <c r="C763" s="202"/>
      <c r="D763" s="202"/>
      <c r="E763" s="202"/>
      <c r="F763" s="202"/>
      <c r="G763" s="202"/>
      <c r="H763" s="1"/>
      <c r="I763" s="1"/>
      <c r="J763" s="1"/>
      <c r="K763" s="1"/>
      <c r="L763" s="1"/>
      <c r="M763" s="1"/>
    </row>
    <row r="764" spans="1:13" s="7" customFormat="1" ht="17.25">
      <c r="A764" s="27" t="s">
        <v>540</v>
      </c>
      <c r="B764" s="68">
        <v>0</v>
      </c>
      <c r="C764" s="68">
        <v>0</v>
      </c>
      <c r="D764" s="68">
        <v>0</v>
      </c>
      <c r="E764" s="68">
        <v>0</v>
      </c>
      <c r="F764" s="75" t="s">
        <v>320</v>
      </c>
      <c r="G764" s="68">
        <v>15000</v>
      </c>
      <c r="H764" s="1"/>
      <c r="I764" s="1"/>
      <c r="J764" s="1"/>
      <c r="K764" s="1"/>
      <c r="L764" s="1"/>
      <c r="M764" s="1"/>
    </row>
    <row r="765" spans="1:13" s="7" customFormat="1" ht="17.25">
      <c r="A765" s="27" t="s">
        <v>541</v>
      </c>
      <c r="B765" s="200">
        <v>0</v>
      </c>
      <c r="C765" s="200">
        <v>0</v>
      </c>
      <c r="D765" s="200">
        <v>0</v>
      </c>
      <c r="E765" s="200">
        <v>0</v>
      </c>
      <c r="F765" s="207" t="s">
        <v>320</v>
      </c>
      <c r="G765" s="200">
        <v>15000</v>
      </c>
      <c r="H765" s="1"/>
      <c r="I765" s="1"/>
      <c r="J765" s="1"/>
      <c r="K765" s="1"/>
      <c r="L765" s="1"/>
      <c r="M765" s="1"/>
    </row>
    <row r="766" spans="1:13" s="7" customFormat="1" ht="17.25">
      <c r="A766" s="104" t="s">
        <v>542</v>
      </c>
      <c r="B766" s="210"/>
      <c r="C766" s="201"/>
      <c r="D766" s="201"/>
      <c r="E766" s="201"/>
      <c r="F766" s="225"/>
      <c r="G766" s="201"/>
      <c r="H766" s="1"/>
      <c r="I766" s="1"/>
      <c r="J766" s="1"/>
      <c r="K766" s="1"/>
      <c r="L766" s="1"/>
      <c r="M766" s="1"/>
    </row>
    <row r="767" spans="1:13" s="7" customFormat="1" ht="17.25">
      <c r="A767" s="16" t="s">
        <v>50</v>
      </c>
      <c r="B767" s="93">
        <v>660000</v>
      </c>
      <c r="C767" s="93">
        <v>652500</v>
      </c>
      <c r="D767" s="93">
        <f>D758</f>
        <v>610725.81000000006</v>
      </c>
      <c r="E767" s="93">
        <v>580000</v>
      </c>
      <c r="F767" s="73"/>
      <c r="G767" s="93">
        <f>G758+G761+G762+G763+G764+G765+G766</f>
        <v>429000</v>
      </c>
      <c r="H767" s="1"/>
      <c r="I767" s="1"/>
      <c r="J767" s="1"/>
      <c r="K767" s="1"/>
      <c r="L767" s="1"/>
      <c r="M767" s="1"/>
    </row>
    <row r="768" spans="1:13" s="7" customFormat="1" ht="17.25">
      <c r="A768" s="21" t="s">
        <v>51</v>
      </c>
      <c r="B768" s="65"/>
      <c r="C768" s="65"/>
      <c r="D768" s="65"/>
      <c r="E768" s="65"/>
      <c r="F768" s="68"/>
      <c r="G768" s="65"/>
      <c r="H768" s="1"/>
      <c r="I768" s="1"/>
      <c r="J768" s="1"/>
      <c r="K768" s="1"/>
      <c r="L768" s="1"/>
      <c r="M768" s="1"/>
    </row>
    <row r="769" spans="1:13" s="7" customFormat="1" ht="17.25">
      <c r="A769" s="24" t="s">
        <v>57</v>
      </c>
      <c r="B769" s="65">
        <v>151500</v>
      </c>
      <c r="C769" s="65">
        <v>35000</v>
      </c>
      <c r="D769" s="65">
        <v>143530</v>
      </c>
      <c r="E769" s="65">
        <v>130000</v>
      </c>
      <c r="F769" s="127" t="s">
        <v>543</v>
      </c>
      <c r="G769" s="65">
        <v>110000</v>
      </c>
      <c r="H769" s="1"/>
      <c r="I769" s="1"/>
      <c r="J769" s="1"/>
      <c r="K769" s="1"/>
      <c r="L769" s="1"/>
      <c r="M769" s="1"/>
    </row>
    <row r="770" spans="1:13" s="7" customFormat="1" ht="17.25">
      <c r="A770" s="24" t="s">
        <v>490</v>
      </c>
      <c r="B770" s="66">
        <v>0</v>
      </c>
      <c r="C770" s="66">
        <v>0</v>
      </c>
      <c r="D770" s="66">
        <v>0</v>
      </c>
      <c r="E770" s="66">
        <v>0</v>
      </c>
      <c r="F770" s="140">
        <v>1</v>
      </c>
      <c r="G770" s="66">
        <v>9200</v>
      </c>
      <c r="H770" s="1"/>
      <c r="I770" s="1"/>
      <c r="J770" s="1"/>
      <c r="K770" s="1"/>
      <c r="L770" s="1"/>
      <c r="M770" s="1"/>
    </row>
    <row r="771" spans="1:13" s="7" customFormat="1" ht="17.25">
      <c r="A771" s="27" t="s">
        <v>59</v>
      </c>
      <c r="B771" s="66">
        <v>0</v>
      </c>
      <c r="C771" s="66">
        <v>0</v>
      </c>
      <c r="D771" s="66">
        <v>0</v>
      </c>
      <c r="E771" s="66">
        <v>70000</v>
      </c>
      <c r="F771" s="105" t="s">
        <v>470</v>
      </c>
      <c r="G771" s="66">
        <v>56000</v>
      </c>
      <c r="H771" s="1"/>
      <c r="I771" s="1"/>
      <c r="J771" s="1"/>
      <c r="K771" s="1"/>
      <c r="L771" s="1"/>
      <c r="M771" s="1"/>
    </row>
    <row r="772" spans="1:13" s="7" customFormat="1" ht="17.25">
      <c r="A772" s="16" t="s">
        <v>60</v>
      </c>
      <c r="B772" s="92">
        <f>SUM(B769:B771)</f>
        <v>151500</v>
      </c>
      <c r="C772" s="92">
        <f>SUM(C769:C771)</f>
        <v>35000</v>
      </c>
      <c r="D772" s="92">
        <f>SUM(D769:D771)</f>
        <v>143530</v>
      </c>
      <c r="E772" s="92">
        <f>SUM(E769:E771)</f>
        <v>200000</v>
      </c>
      <c r="F772" s="88"/>
      <c r="G772" s="92">
        <f>SUM(G769:G771)</f>
        <v>175200</v>
      </c>
      <c r="H772" s="1"/>
      <c r="I772" s="1"/>
      <c r="J772" s="1"/>
      <c r="K772" s="1"/>
      <c r="L772" s="1"/>
      <c r="M772" s="1"/>
    </row>
    <row r="773" spans="1:13" s="7" customFormat="1" ht="17.25">
      <c r="A773" s="15" t="s">
        <v>68</v>
      </c>
      <c r="B773" s="93">
        <f>B767+B772</f>
        <v>811500</v>
      </c>
      <c r="C773" s="93">
        <f>C767+C772</f>
        <v>687500</v>
      </c>
      <c r="D773" s="93">
        <f>D756+D767+D772</f>
        <v>754255.81</v>
      </c>
      <c r="E773" s="93">
        <f>E767+E772</f>
        <v>780000</v>
      </c>
      <c r="F773" s="73"/>
      <c r="G773" s="93">
        <f>G756+G767+G772</f>
        <v>610140</v>
      </c>
      <c r="H773" s="1"/>
      <c r="I773" s="1"/>
      <c r="J773" s="1"/>
      <c r="K773" s="1"/>
      <c r="L773" s="1"/>
      <c r="M773" s="1"/>
    </row>
    <row r="774" spans="1:13" s="34" customFormat="1" ht="17.25">
      <c r="A774" s="199"/>
      <c r="B774" s="199" t="s">
        <v>3</v>
      </c>
      <c r="C774" s="199"/>
      <c r="D774" s="199"/>
      <c r="E774" s="199" t="s">
        <v>4</v>
      </c>
      <c r="F774" s="199"/>
      <c r="G774" s="199"/>
      <c r="H774" s="33"/>
      <c r="I774" s="33"/>
      <c r="J774" s="33"/>
      <c r="K774" s="33"/>
      <c r="L774" s="33"/>
      <c r="M774" s="33"/>
    </row>
    <row r="775" spans="1:13" s="34" customFormat="1" ht="17.25">
      <c r="A775" s="199"/>
      <c r="B775" s="159" t="s">
        <v>5</v>
      </c>
      <c r="C775" s="159" t="s">
        <v>6</v>
      </c>
      <c r="D775" s="159" t="s">
        <v>7</v>
      </c>
      <c r="E775" s="159" t="s">
        <v>9</v>
      </c>
      <c r="F775" s="159" t="s">
        <v>8</v>
      </c>
      <c r="G775" s="159" t="s">
        <v>417</v>
      </c>
      <c r="H775" s="33"/>
      <c r="I775" s="33"/>
      <c r="J775" s="33"/>
      <c r="K775" s="33"/>
      <c r="L775" s="33"/>
      <c r="M775" s="33"/>
    </row>
    <row r="776" spans="1:13" s="7" customFormat="1" ht="17.25">
      <c r="A776" s="38" t="s">
        <v>69</v>
      </c>
      <c r="B776" s="66"/>
      <c r="C776" s="66"/>
      <c r="D776" s="66"/>
      <c r="E776" s="66"/>
      <c r="F776" s="69"/>
      <c r="G776" s="66"/>
      <c r="H776" s="1"/>
      <c r="I776" s="1"/>
      <c r="J776" s="1"/>
      <c r="K776" s="1"/>
      <c r="L776" s="1"/>
      <c r="M776" s="1"/>
    </row>
    <row r="777" spans="1:13" s="7" customFormat="1" ht="17.25">
      <c r="A777" s="21" t="s">
        <v>70</v>
      </c>
      <c r="B777" s="65"/>
      <c r="C777" s="65"/>
      <c r="D777" s="65"/>
      <c r="E777" s="65"/>
      <c r="F777" s="68"/>
      <c r="G777" s="65"/>
      <c r="H777" s="1"/>
      <c r="I777" s="1"/>
      <c r="J777" s="1"/>
      <c r="K777" s="1"/>
      <c r="L777" s="1"/>
      <c r="M777" s="1"/>
    </row>
    <row r="778" spans="1:13" s="7" customFormat="1" ht="17.25">
      <c r="A778" s="22" t="s">
        <v>127</v>
      </c>
      <c r="B778" s="66">
        <v>33814.199999999997</v>
      </c>
      <c r="C778" s="66">
        <v>0</v>
      </c>
      <c r="D778" s="66">
        <v>0</v>
      </c>
      <c r="E778" s="66">
        <v>50000</v>
      </c>
      <c r="F778" s="74">
        <v>0.8</v>
      </c>
      <c r="G778" s="66">
        <v>90000</v>
      </c>
      <c r="H778" s="1"/>
      <c r="I778" s="1"/>
      <c r="J778" s="1"/>
      <c r="K778" s="1"/>
      <c r="L778" s="1"/>
      <c r="M778" s="1"/>
    </row>
    <row r="779" spans="1:13" s="7" customFormat="1" ht="17.25">
      <c r="A779" s="16" t="s">
        <v>82</v>
      </c>
      <c r="B779" s="97">
        <v>33814.199999999997</v>
      </c>
      <c r="C779" s="97">
        <v>0</v>
      </c>
      <c r="D779" s="97">
        <v>0</v>
      </c>
      <c r="E779" s="97">
        <v>50000</v>
      </c>
      <c r="F779" s="98"/>
      <c r="G779" s="97">
        <v>90000</v>
      </c>
      <c r="H779" s="1"/>
      <c r="I779" s="1"/>
      <c r="J779" s="1"/>
      <c r="K779" s="1"/>
      <c r="L779" s="1"/>
      <c r="M779" s="1"/>
    </row>
    <row r="780" spans="1:13" s="7" customFormat="1" ht="17.25">
      <c r="A780" s="15" t="s">
        <v>88</v>
      </c>
      <c r="B780" s="93">
        <v>33814.199999999997</v>
      </c>
      <c r="C780" s="93">
        <v>0</v>
      </c>
      <c r="D780" s="93">
        <v>0</v>
      </c>
      <c r="E780" s="93">
        <v>50000</v>
      </c>
      <c r="F780" s="73"/>
      <c r="G780" s="93">
        <v>90000</v>
      </c>
      <c r="H780" s="1"/>
      <c r="I780" s="1"/>
      <c r="J780" s="1"/>
      <c r="K780" s="1"/>
      <c r="L780" s="1"/>
      <c r="M780" s="1"/>
    </row>
    <row r="781" spans="1:13" s="7" customFormat="1" ht="17.25">
      <c r="A781" s="16" t="s">
        <v>212</v>
      </c>
      <c r="B781" s="92">
        <f>B751++B773+B780</f>
        <v>957869.1</v>
      </c>
      <c r="C781" s="92">
        <f>C751+C773</f>
        <v>840500</v>
      </c>
      <c r="D781" s="92">
        <f>D751+D773</f>
        <v>913675.81</v>
      </c>
      <c r="E781" s="92">
        <f>E751+E773+E779</f>
        <v>996560</v>
      </c>
      <c r="F781" s="88"/>
      <c r="G781" s="92">
        <f>G751+G773+G779</f>
        <v>859560</v>
      </c>
      <c r="H781" s="1"/>
      <c r="I781" s="1"/>
      <c r="J781" s="1"/>
      <c r="K781" s="1"/>
      <c r="L781" s="1"/>
      <c r="M781" s="1"/>
    </row>
    <row r="782" spans="1:13" s="7" customFormat="1" ht="17.25">
      <c r="A782" s="23" t="s">
        <v>213</v>
      </c>
      <c r="B782" s="66"/>
      <c r="C782" s="66"/>
      <c r="D782" s="66"/>
      <c r="E782" s="66"/>
      <c r="F782" s="69"/>
      <c r="G782" s="66"/>
      <c r="H782" s="1"/>
      <c r="I782" s="1"/>
      <c r="J782" s="1"/>
      <c r="K782" s="1"/>
      <c r="L782" s="1"/>
    </row>
    <row r="783" spans="1:13" s="7" customFormat="1" ht="17.25">
      <c r="A783" s="21" t="s">
        <v>69</v>
      </c>
      <c r="B783" s="56"/>
      <c r="C783" s="56"/>
      <c r="D783" s="56"/>
      <c r="E783" s="56"/>
      <c r="F783" s="68"/>
      <c r="G783" s="56"/>
      <c r="H783" s="1"/>
      <c r="I783" s="1"/>
      <c r="J783" s="1"/>
      <c r="K783" s="1"/>
      <c r="L783" s="1"/>
    </row>
    <row r="784" spans="1:13" s="7" customFormat="1" ht="17.25">
      <c r="A784" s="22" t="s">
        <v>214</v>
      </c>
      <c r="B784" s="57"/>
      <c r="C784" s="57"/>
      <c r="D784" s="57"/>
      <c r="E784" s="57"/>
      <c r="F784" s="70"/>
      <c r="G784" s="57"/>
      <c r="H784" s="1"/>
      <c r="I784" s="1"/>
      <c r="J784" s="1"/>
      <c r="K784" s="1"/>
      <c r="L784" s="1"/>
    </row>
    <row r="785" spans="1:12" s="7" customFormat="1" ht="17.25">
      <c r="A785" s="27" t="s">
        <v>156</v>
      </c>
      <c r="B785" s="65"/>
      <c r="C785" s="65"/>
      <c r="D785" s="65"/>
      <c r="E785" s="65"/>
      <c r="F785" s="68"/>
      <c r="G785" s="65"/>
      <c r="H785" s="1"/>
      <c r="I785" s="1"/>
      <c r="J785" s="1"/>
      <c r="K785" s="1"/>
      <c r="L785" s="1"/>
    </row>
    <row r="786" spans="1:12" s="7" customFormat="1" ht="17.25">
      <c r="A786" s="27" t="s">
        <v>351</v>
      </c>
      <c r="B786" s="200">
        <v>356774.5</v>
      </c>
      <c r="C786" s="200">
        <v>0</v>
      </c>
      <c r="D786" s="200">
        <v>58000</v>
      </c>
      <c r="E786" s="200">
        <v>0</v>
      </c>
      <c r="F786" s="207"/>
      <c r="G786" s="200">
        <v>0</v>
      </c>
      <c r="H786" s="1"/>
      <c r="I786" s="1"/>
      <c r="J786" s="1"/>
      <c r="K786" s="1"/>
      <c r="L786" s="1"/>
    </row>
    <row r="787" spans="1:12" s="7" customFormat="1" ht="17.25">
      <c r="A787" s="24" t="s">
        <v>350</v>
      </c>
      <c r="B787" s="202"/>
      <c r="C787" s="202"/>
      <c r="D787" s="202"/>
      <c r="E787" s="202"/>
      <c r="F787" s="202"/>
      <c r="G787" s="202"/>
      <c r="H787" s="1"/>
      <c r="I787" s="1"/>
      <c r="J787" s="1"/>
      <c r="K787" s="1"/>
      <c r="L787" s="1"/>
    </row>
    <row r="788" spans="1:12" s="7" customFormat="1" ht="17.25">
      <c r="A788" s="27" t="s">
        <v>352</v>
      </c>
      <c r="B788" s="200">
        <v>0</v>
      </c>
      <c r="C788" s="200">
        <v>0</v>
      </c>
      <c r="D788" s="200">
        <v>0</v>
      </c>
      <c r="E788" s="200">
        <v>81500</v>
      </c>
      <c r="F788" s="203">
        <v>-1</v>
      </c>
      <c r="G788" s="200">
        <v>0</v>
      </c>
      <c r="H788" s="1"/>
      <c r="I788" s="1"/>
      <c r="J788" s="1"/>
      <c r="K788" s="1"/>
      <c r="L788" s="1"/>
    </row>
    <row r="789" spans="1:12" s="7" customFormat="1" ht="17.25">
      <c r="A789" s="26" t="s">
        <v>353</v>
      </c>
      <c r="B789" s="202"/>
      <c r="C789" s="202"/>
      <c r="D789" s="202"/>
      <c r="E789" s="202"/>
      <c r="F789" s="202"/>
      <c r="G789" s="202"/>
      <c r="H789" s="1"/>
      <c r="I789" s="1"/>
      <c r="J789" s="1"/>
      <c r="K789" s="1"/>
      <c r="L789" s="1"/>
    </row>
    <row r="790" spans="1:12" s="7" customFormat="1" ht="17.25">
      <c r="A790" s="27" t="s">
        <v>354</v>
      </c>
      <c r="B790" s="200"/>
      <c r="C790" s="200">
        <v>1331194.46</v>
      </c>
      <c r="D790" s="200">
        <v>0</v>
      </c>
      <c r="E790" s="200">
        <v>200000</v>
      </c>
      <c r="F790" s="203">
        <v>-1</v>
      </c>
      <c r="G790" s="200">
        <v>0</v>
      </c>
      <c r="H790" s="1"/>
      <c r="I790" s="1"/>
      <c r="J790" s="1"/>
      <c r="K790" s="1"/>
      <c r="L790" s="1"/>
    </row>
    <row r="791" spans="1:12" s="7" customFormat="1" ht="17.25">
      <c r="A791" s="24" t="s">
        <v>355</v>
      </c>
      <c r="B791" s="202"/>
      <c r="C791" s="202"/>
      <c r="D791" s="202"/>
      <c r="E791" s="202"/>
      <c r="F791" s="202"/>
      <c r="G791" s="202"/>
      <c r="H791" s="1"/>
      <c r="I791" s="1"/>
      <c r="J791" s="1"/>
      <c r="K791" s="1"/>
      <c r="L791" s="1"/>
    </row>
    <row r="792" spans="1:12" ht="17.25">
      <c r="A792" s="37" t="s">
        <v>160</v>
      </c>
      <c r="B792" s="92">
        <v>356774.5</v>
      </c>
      <c r="C792" s="92">
        <f>SUM(C788:C791)</f>
        <v>1331194.46</v>
      </c>
      <c r="D792" s="92">
        <v>58000</v>
      </c>
      <c r="E792" s="92">
        <v>281500</v>
      </c>
      <c r="F792" s="88"/>
      <c r="G792" s="92">
        <v>0</v>
      </c>
      <c r="H792" s="1"/>
      <c r="I792" s="1"/>
      <c r="J792" s="1"/>
      <c r="K792" s="1"/>
      <c r="L792" s="1"/>
    </row>
    <row r="793" spans="1:12" ht="17.25">
      <c r="A793" s="16" t="s">
        <v>88</v>
      </c>
      <c r="B793" s="93">
        <f>B781+B792</f>
        <v>1314643.6000000001</v>
      </c>
      <c r="C793" s="93">
        <v>1331194.46</v>
      </c>
      <c r="D793" s="93">
        <f>D792</f>
        <v>58000</v>
      </c>
      <c r="E793" s="93">
        <v>281500</v>
      </c>
      <c r="F793" s="73"/>
      <c r="G793" s="93">
        <v>0</v>
      </c>
      <c r="H793" s="1"/>
      <c r="I793" s="1"/>
      <c r="J793" s="1"/>
      <c r="K793" s="1"/>
      <c r="L793" s="1"/>
    </row>
    <row r="794" spans="1:12" ht="17.25">
      <c r="A794" s="16" t="s">
        <v>215</v>
      </c>
      <c r="B794" s="92">
        <f>B793</f>
        <v>1314643.6000000001</v>
      </c>
      <c r="C794" s="92">
        <v>1331194.46</v>
      </c>
      <c r="D794" s="92">
        <f>D792</f>
        <v>58000</v>
      </c>
      <c r="E794" s="92">
        <v>281500</v>
      </c>
      <c r="F794" s="88"/>
      <c r="G794" s="92">
        <v>0</v>
      </c>
      <c r="H794" s="1"/>
      <c r="I794" s="1"/>
      <c r="J794" s="1"/>
      <c r="K794" s="1"/>
      <c r="L794" s="1"/>
    </row>
    <row r="795" spans="1:12" ht="17.25">
      <c r="A795" s="16" t="s">
        <v>216</v>
      </c>
      <c r="B795" s="97">
        <f>B672+B742+B794</f>
        <v>3852838.91</v>
      </c>
      <c r="C795" s="97">
        <f>C794+C672+C742+C781</f>
        <v>6723427.04</v>
      </c>
      <c r="D795" s="97">
        <f>D794+D672+D742+D781</f>
        <v>3314115.87</v>
      </c>
      <c r="E795" s="97">
        <f>E794+E672+E742+E781</f>
        <v>4572935</v>
      </c>
      <c r="F795" s="98"/>
      <c r="G795" s="97">
        <f>G794+G672+G742+G781</f>
        <v>5930800</v>
      </c>
      <c r="H795" s="1"/>
      <c r="I795" s="1"/>
      <c r="J795" s="1"/>
      <c r="K795" s="1"/>
      <c r="L795" s="1"/>
    </row>
    <row r="796" spans="1:12" ht="17.25">
      <c r="A796" s="21" t="s">
        <v>217</v>
      </c>
      <c r="B796" s="65"/>
      <c r="C796" s="65"/>
      <c r="D796" s="65"/>
      <c r="E796" s="65"/>
      <c r="F796" s="68"/>
      <c r="G796" s="65"/>
      <c r="H796" s="1"/>
      <c r="I796" s="1"/>
      <c r="J796" s="1"/>
      <c r="K796" s="1"/>
      <c r="L796" s="1"/>
    </row>
    <row r="797" spans="1:12" ht="17.25">
      <c r="A797" s="21" t="s">
        <v>218</v>
      </c>
      <c r="B797" s="66"/>
      <c r="C797" s="66"/>
      <c r="D797" s="66"/>
      <c r="E797" s="66"/>
      <c r="F797" s="69"/>
      <c r="G797" s="66"/>
      <c r="H797" s="1"/>
      <c r="I797" s="1"/>
      <c r="J797" s="1"/>
      <c r="K797" s="1"/>
      <c r="L797" s="1"/>
    </row>
    <row r="798" spans="1:12" ht="17.25">
      <c r="A798" s="21" t="s">
        <v>33</v>
      </c>
      <c r="B798" s="83"/>
      <c r="C798" s="83"/>
      <c r="D798" s="83"/>
      <c r="E798" s="83"/>
      <c r="F798" s="76"/>
      <c r="G798" s="83"/>
    </row>
    <row r="799" spans="1:12" ht="17.25">
      <c r="A799" s="29" t="s">
        <v>41</v>
      </c>
      <c r="B799" s="65"/>
      <c r="C799" s="65"/>
      <c r="D799" s="65"/>
      <c r="E799" s="65"/>
      <c r="F799" s="68"/>
      <c r="G799" s="65"/>
    </row>
    <row r="800" spans="1:12" ht="17.25">
      <c r="A800" s="27" t="s">
        <v>44</v>
      </c>
      <c r="B800" s="200"/>
      <c r="C800" s="200"/>
      <c r="D800" s="200"/>
      <c r="E800" s="200"/>
      <c r="F800" s="200"/>
      <c r="G800" s="200"/>
    </row>
    <row r="801" spans="1:13" ht="17.25">
      <c r="A801" s="24" t="s">
        <v>308</v>
      </c>
      <c r="B801" s="202"/>
      <c r="C801" s="202"/>
      <c r="D801" s="202"/>
      <c r="E801" s="202"/>
      <c r="F801" s="202"/>
      <c r="G801" s="202"/>
    </row>
    <row r="802" spans="1:13" s="7" customFormat="1" ht="17.25">
      <c r="A802" s="27" t="s">
        <v>544</v>
      </c>
      <c r="B802" s="200">
        <v>0</v>
      </c>
      <c r="C802" s="200">
        <v>0</v>
      </c>
      <c r="D802" s="200">
        <v>0</v>
      </c>
      <c r="E802" s="200">
        <v>0</v>
      </c>
      <c r="F802" s="203">
        <v>1</v>
      </c>
      <c r="G802" s="200">
        <v>50000</v>
      </c>
      <c r="H802" s="1"/>
      <c r="I802" s="1"/>
      <c r="J802" s="1"/>
      <c r="K802" s="1"/>
      <c r="L802" s="1"/>
      <c r="M802" s="1"/>
    </row>
    <row r="803" spans="1:13" s="7" customFormat="1" ht="17.25">
      <c r="A803" s="26" t="s">
        <v>545</v>
      </c>
      <c r="B803" s="201"/>
      <c r="C803" s="201"/>
      <c r="D803" s="201"/>
      <c r="E803" s="201"/>
      <c r="F803" s="201"/>
      <c r="G803" s="201"/>
      <c r="H803" s="1"/>
      <c r="I803" s="1"/>
      <c r="J803" s="1"/>
      <c r="K803" s="1"/>
      <c r="L803" s="1"/>
      <c r="M803" s="1"/>
    </row>
    <row r="804" spans="1:13" ht="17.25">
      <c r="A804" s="49"/>
      <c r="B804" s="103"/>
      <c r="C804" s="103"/>
      <c r="D804" s="103"/>
      <c r="E804" s="103"/>
      <c r="F804" s="103"/>
      <c r="G804" s="103"/>
    </row>
    <row r="805" spans="1:13" s="34" customFormat="1" ht="17.25">
      <c r="A805" s="199"/>
      <c r="B805" s="199" t="s">
        <v>3</v>
      </c>
      <c r="C805" s="199"/>
      <c r="D805" s="199"/>
      <c r="E805" s="199" t="s">
        <v>4</v>
      </c>
      <c r="F805" s="199"/>
      <c r="G805" s="199"/>
      <c r="H805" s="33"/>
      <c r="I805" s="33"/>
      <c r="J805" s="33"/>
      <c r="K805" s="33"/>
      <c r="L805" s="33"/>
      <c r="M805" s="33"/>
    </row>
    <row r="806" spans="1:13" s="34" customFormat="1" ht="17.25">
      <c r="A806" s="199"/>
      <c r="B806" s="159" t="s">
        <v>5</v>
      </c>
      <c r="C806" s="159" t="s">
        <v>6</v>
      </c>
      <c r="D806" s="159" t="s">
        <v>7</v>
      </c>
      <c r="E806" s="159" t="s">
        <v>9</v>
      </c>
      <c r="F806" s="159" t="s">
        <v>8</v>
      </c>
      <c r="G806" s="159" t="s">
        <v>417</v>
      </c>
      <c r="H806" s="33"/>
      <c r="I806" s="33"/>
      <c r="J806" s="33"/>
      <c r="K806" s="33"/>
      <c r="L806" s="33"/>
      <c r="M806" s="33"/>
    </row>
    <row r="807" spans="1:13" s="7" customFormat="1" ht="17.25">
      <c r="A807" s="27" t="s">
        <v>546</v>
      </c>
      <c r="B807" s="200">
        <v>0</v>
      </c>
      <c r="C807" s="200">
        <v>0</v>
      </c>
      <c r="D807" s="200">
        <v>0</v>
      </c>
      <c r="E807" s="200">
        <v>0</v>
      </c>
      <c r="F807" s="203">
        <v>1</v>
      </c>
      <c r="G807" s="200">
        <v>30000</v>
      </c>
      <c r="H807" s="1"/>
      <c r="I807" s="1"/>
      <c r="J807" s="1"/>
      <c r="K807" s="1"/>
      <c r="L807" s="1"/>
      <c r="M807" s="1"/>
    </row>
    <row r="808" spans="1:13" s="7" customFormat="1" ht="17.25">
      <c r="A808" s="24" t="s">
        <v>547</v>
      </c>
      <c r="B808" s="202"/>
      <c r="C808" s="202"/>
      <c r="D808" s="202"/>
      <c r="E808" s="202"/>
      <c r="F808" s="202"/>
      <c r="G808" s="202"/>
      <c r="H808" s="1"/>
      <c r="I808" s="1"/>
      <c r="J808" s="1"/>
      <c r="K808" s="1"/>
      <c r="L808" s="1"/>
      <c r="M808" s="1"/>
    </row>
    <row r="809" spans="1:13" s="7" customFormat="1" ht="17.25">
      <c r="A809" s="22" t="s">
        <v>548</v>
      </c>
      <c r="B809" s="68">
        <v>0</v>
      </c>
      <c r="C809" s="68">
        <v>0</v>
      </c>
      <c r="D809" s="68">
        <v>0</v>
      </c>
      <c r="E809" s="68">
        <v>0</v>
      </c>
      <c r="F809" s="59">
        <v>1</v>
      </c>
      <c r="G809" s="68">
        <v>50000</v>
      </c>
      <c r="H809" s="1"/>
      <c r="I809" s="1"/>
      <c r="J809" s="1"/>
      <c r="K809" s="1"/>
      <c r="L809" s="1"/>
      <c r="M809" s="1"/>
    </row>
    <row r="810" spans="1:13" s="34" customFormat="1" ht="17.25">
      <c r="A810" s="22" t="s">
        <v>549</v>
      </c>
      <c r="B810" s="144">
        <v>0</v>
      </c>
      <c r="C810" s="88">
        <v>0</v>
      </c>
      <c r="D810" s="88">
        <v>0</v>
      </c>
      <c r="E810" s="145">
        <v>0</v>
      </c>
      <c r="F810" s="143">
        <v>1</v>
      </c>
      <c r="G810" s="145">
        <v>80000</v>
      </c>
      <c r="H810" s="33"/>
      <c r="I810" s="33"/>
      <c r="J810" s="33"/>
      <c r="K810" s="33"/>
      <c r="L810" s="33"/>
      <c r="M810" s="33"/>
    </row>
    <row r="811" spans="1:13" s="7" customFormat="1" ht="17.25">
      <c r="A811" s="27" t="s">
        <v>550</v>
      </c>
      <c r="B811" s="200">
        <v>0</v>
      </c>
      <c r="C811" s="200">
        <v>0</v>
      </c>
      <c r="D811" s="200">
        <v>0</v>
      </c>
      <c r="E811" s="200">
        <v>0</v>
      </c>
      <c r="F811" s="203">
        <v>1</v>
      </c>
      <c r="G811" s="200">
        <v>20000</v>
      </c>
      <c r="H811" s="1"/>
      <c r="I811" s="1"/>
      <c r="J811" s="1"/>
      <c r="K811" s="1"/>
      <c r="L811" s="1"/>
      <c r="M811" s="1"/>
    </row>
    <row r="812" spans="1:13" s="7" customFormat="1" ht="17.25">
      <c r="A812" s="24" t="s">
        <v>551</v>
      </c>
      <c r="B812" s="202"/>
      <c r="C812" s="202"/>
      <c r="D812" s="202"/>
      <c r="E812" s="202"/>
      <c r="F812" s="202"/>
      <c r="G812" s="202"/>
      <c r="H812" s="1"/>
      <c r="I812" s="1"/>
      <c r="J812" s="1"/>
      <c r="K812" s="1"/>
      <c r="L812" s="1"/>
      <c r="M812" s="1"/>
    </row>
    <row r="813" spans="1:13" s="7" customFormat="1" ht="17.25">
      <c r="A813" s="22" t="s">
        <v>552</v>
      </c>
      <c r="B813" s="114">
        <v>0</v>
      </c>
      <c r="C813" s="114">
        <v>0</v>
      </c>
      <c r="D813" s="114">
        <v>0</v>
      </c>
      <c r="E813" s="114">
        <v>0</v>
      </c>
      <c r="F813" s="122">
        <v>1</v>
      </c>
      <c r="G813" s="114">
        <v>20000</v>
      </c>
      <c r="H813" s="1"/>
      <c r="I813" s="1"/>
      <c r="J813" s="1"/>
      <c r="K813" s="1"/>
      <c r="L813" s="1"/>
      <c r="M813" s="1"/>
    </row>
    <row r="814" spans="1:13" s="7" customFormat="1" ht="17.25">
      <c r="A814" s="22" t="s">
        <v>553</v>
      </c>
      <c r="B814" s="114">
        <v>0</v>
      </c>
      <c r="C814" s="114">
        <v>0</v>
      </c>
      <c r="D814" s="114">
        <v>0</v>
      </c>
      <c r="E814" s="114">
        <v>0</v>
      </c>
      <c r="F814" s="122">
        <v>1</v>
      </c>
      <c r="G814" s="114">
        <v>35000</v>
      </c>
      <c r="H814" s="1"/>
      <c r="I814" s="1"/>
      <c r="J814" s="1"/>
      <c r="K814" s="1"/>
      <c r="L814" s="1"/>
      <c r="M814" s="1"/>
    </row>
    <row r="815" spans="1:13" ht="17.25">
      <c r="A815" s="24" t="s">
        <v>219</v>
      </c>
      <c r="B815" s="65">
        <v>0</v>
      </c>
      <c r="C815" s="65">
        <v>0</v>
      </c>
      <c r="D815" s="65">
        <v>0</v>
      </c>
      <c r="E815" s="65">
        <v>0</v>
      </c>
      <c r="F815" s="75"/>
      <c r="G815" s="65">
        <v>0</v>
      </c>
    </row>
    <row r="816" spans="1:13" ht="17.25">
      <c r="A816" s="27" t="s">
        <v>220</v>
      </c>
      <c r="B816" s="66">
        <v>0</v>
      </c>
      <c r="C816" s="66">
        <v>0</v>
      </c>
      <c r="D816" s="66">
        <v>0</v>
      </c>
      <c r="E816" s="66">
        <v>0</v>
      </c>
      <c r="F816" s="74"/>
      <c r="G816" s="66">
        <v>0</v>
      </c>
    </row>
    <row r="817" spans="1:13" s="7" customFormat="1" ht="17.25">
      <c r="A817" s="27" t="s">
        <v>356</v>
      </c>
      <c r="B817" s="200">
        <v>0</v>
      </c>
      <c r="C817" s="200">
        <v>0</v>
      </c>
      <c r="D817" s="200">
        <v>0</v>
      </c>
      <c r="E817" s="200">
        <v>0</v>
      </c>
      <c r="F817" s="203"/>
      <c r="G817" s="200">
        <v>0</v>
      </c>
      <c r="H817" s="1"/>
      <c r="I817" s="1"/>
      <c r="J817" s="1"/>
      <c r="K817" s="1"/>
      <c r="L817" s="1"/>
      <c r="M817" s="1"/>
    </row>
    <row r="818" spans="1:13" s="7" customFormat="1" ht="17.25">
      <c r="A818" s="24" t="s">
        <v>357</v>
      </c>
      <c r="B818" s="202"/>
      <c r="C818" s="202"/>
      <c r="D818" s="202"/>
      <c r="E818" s="202"/>
      <c r="F818" s="202"/>
      <c r="G818" s="202"/>
      <c r="H818" s="1"/>
      <c r="I818" s="1"/>
      <c r="J818" s="1"/>
      <c r="K818" s="1"/>
      <c r="L818" s="1"/>
      <c r="M818" s="1"/>
    </row>
    <row r="819" spans="1:13" s="7" customFormat="1" ht="17.25">
      <c r="A819" s="26" t="s">
        <v>221</v>
      </c>
      <c r="B819" s="65">
        <v>0</v>
      </c>
      <c r="C819" s="65">
        <v>0</v>
      </c>
      <c r="D819" s="65">
        <v>0</v>
      </c>
      <c r="E819" s="65">
        <v>0</v>
      </c>
      <c r="F819" s="59"/>
      <c r="G819" s="65">
        <v>0</v>
      </c>
      <c r="H819" s="1"/>
      <c r="I819" s="1"/>
      <c r="J819" s="1"/>
      <c r="K819" s="1"/>
      <c r="L819" s="1"/>
      <c r="M819" s="1"/>
    </row>
    <row r="820" spans="1:13" s="7" customFormat="1" ht="17.25">
      <c r="A820" s="27" t="s">
        <v>358</v>
      </c>
      <c r="B820" s="200">
        <v>0</v>
      </c>
      <c r="C820" s="200">
        <v>0</v>
      </c>
      <c r="D820" s="200">
        <v>0</v>
      </c>
      <c r="E820" s="200">
        <v>60000</v>
      </c>
      <c r="F820" s="203">
        <v>-1</v>
      </c>
      <c r="G820" s="200">
        <v>0</v>
      </c>
      <c r="H820" s="1"/>
      <c r="I820" s="1"/>
      <c r="J820" s="1"/>
      <c r="K820" s="1"/>
      <c r="L820" s="1"/>
      <c r="M820" s="1"/>
    </row>
    <row r="821" spans="1:13" s="7" customFormat="1" ht="17.25">
      <c r="A821" s="26" t="s">
        <v>359</v>
      </c>
      <c r="B821" s="201"/>
      <c r="C821" s="201"/>
      <c r="D821" s="201"/>
      <c r="E821" s="201"/>
      <c r="F821" s="201"/>
      <c r="G821" s="201"/>
      <c r="H821" s="1"/>
      <c r="I821" s="1"/>
      <c r="J821" s="1"/>
      <c r="K821" s="1"/>
      <c r="L821" s="1"/>
      <c r="M821" s="1"/>
    </row>
    <row r="822" spans="1:13" s="7" customFormat="1" ht="17.25">
      <c r="A822" s="24" t="s">
        <v>222</v>
      </c>
      <c r="B822" s="202"/>
      <c r="C822" s="202"/>
      <c r="D822" s="202"/>
      <c r="E822" s="202"/>
      <c r="F822" s="202"/>
      <c r="G822" s="202"/>
      <c r="H822" s="1"/>
      <c r="I822" s="1"/>
      <c r="J822" s="1"/>
      <c r="K822" s="1"/>
      <c r="L822" s="1"/>
      <c r="M822" s="1"/>
    </row>
    <row r="823" spans="1:13" s="7" customFormat="1" ht="17.25">
      <c r="A823" s="26" t="s">
        <v>223</v>
      </c>
      <c r="B823" s="65">
        <v>0</v>
      </c>
      <c r="C823" s="65">
        <v>0</v>
      </c>
      <c r="D823" s="65">
        <v>0</v>
      </c>
      <c r="E823" s="65">
        <v>20000</v>
      </c>
      <c r="F823" s="59">
        <v>-1</v>
      </c>
      <c r="G823" s="65">
        <v>0</v>
      </c>
      <c r="H823" s="1"/>
      <c r="I823" s="1"/>
      <c r="J823" s="1"/>
      <c r="K823" s="1"/>
      <c r="L823" s="1"/>
      <c r="M823" s="1"/>
    </row>
    <row r="824" spans="1:13" s="7" customFormat="1" ht="17.25">
      <c r="A824" s="51" t="s">
        <v>360</v>
      </c>
      <c r="B824" s="200">
        <v>0</v>
      </c>
      <c r="C824" s="200">
        <v>0</v>
      </c>
      <c r="D824" s="200">
        <v>0</v>
      </c>
      <c r="E824" s="200">
        <v>30000</v>
      </c>
      <c r="F824" s="203">
        <v>-1</v>
      </c>
      <c r="G824" s="200">
        <v>0</v>
      </c>
      <c r="H824" s="1"/>
      <c r="I824" s="1"/>
      <c r="J824" s="1"/>
      <c r="K824" s="1"/>
      <c r="L824" s="1"/>
      <c r="M824" s="1"/>
    </row>
    <row r="825" spans="1:13" s="7" customFormat="1" ht="17.25">
      <c r="A825" s="31" t="s">
        <v>361</v>
      </c>
      <c r="B825" s="202"/>
      <c r="C825" s="202"/>
      <c r="D825" s="202"/>
      <c r="E825" s="202"/>
      <c r="F825" s="202"/>
      <c r="G825" s="202"/>
      <c r="H825" s="1"/>
      <c r="I825" s="1"/>
      <c r="J825" s="1"/>
      <c r="K825" s="1"/>
      <c r="L825" s="1"/>
      <c r="M825" s="1"/>
    </row>
    <row r="826" spans="1:13" s="7" customFormat="1" ht="17.25">
      <c r="A826" s="51" t="s">
        <v>554</v>
      </c>
      <c r="B826" s="200">
        <v>0</v>
      </c>
      <c r="C826" s="200">
        <v>0</v>
      </c>
      <c r="D826" s="200">
        <v>0</v>
      </c>
      <c r="E826" s="200">
        <v>0</v>
      </c>
      <c r="F826" s="203">
        <v>1</v>
      </c>
      <c r="G826" s="200">
        <v>90000</v>
      </c>
      <c r="H826" s="1"/>
      <c r="I826" s="1"/>
      <c r="J826" s="1"/>
      <c r="K826" s="1"/>
      <c r="L826" s="1"/>
      <c r="M826" s="1"/>
    </row>
    <row r="827" spans="1:13" s="7" customFormat="1" ht="17.25">
      <c r="A827" s="31" t="s">
        <v>555</v>
      </c>
      <c r="B827" s="202"/>
      <c r="C827" s="202"/>
      <c r="D827" s="202"/>
      <c r="E827" s="202"/>
      <c r="F827" s="202"/>
      <c r="G827" s="202"/>
      <c r="H827" s="1"/>
      <c r="I827" s="1"/>
      <c r="J827" s="1"/>
      <c r="K827" s="1"/>
      <c r="L827" s="1"/>
      <c r="M827" s="1"/>
    </row>
    <row r="828" spans="1:13" s="7" customFormat="1" ht="17.25">
      <c r="A828" s="24" t="s">
        <v>224</v>
      </c>
      <c r="B828" s="65">
        <v>0</v>
      </c>
      <c r="C828" s="65">
        <v>0</v>
      </c>
      <c r="D828" s="65">
        <v>0</v>
      </c>
      <c r="E828" s="65">
        <v>10000</v>
      </c>
      <c r="F828" s="59">
        <v>-1</v>
      </c>
      <c r="G828" s="65">
        <v>0</v>
      </c>
      <c r="H828" s="1"/>
      <c r="I828" s="1"/>
      <c r="J828" s="1"/>
      <c r="K828" s="1"/>
      <c r="L828" s="1"/>
      <c r="M828" s="1"/>
    </row>
    <row r="829" spans="1:13" s="7" customFormat="1" ht="17.25">
      <c r="A829" s="27" t="s">
        <v>225</v>
      </c>
      <c r="B829" s="66">
        <v>0</v>
      </c>
      <c r="C829" s="66">
        <v>0</v>
      </c>
      <c r="D829" s="66">
        <v>0</v>
      </c>
      <c r="E829" s="66">
        <v>70000</v>
      </c>
      <c r="F829" s="74">
        <v>-1</v>
      </c>
      <c r="G829" s="66">
        <v>0</v>
      </c>
      <c r="H829" s="1"/>
      <c r="I829" s="1"/>
      <c r="J829" s="1"/>
      <c r="K829" s="1"/>
      <c r="L829" s="1"/>
      <c r="M829" s="1"/>
    </row>
    <row r="830" spans="1:13" s="7" customFormat="1" ht="17.25">
      <c r="A830" s="27" t="s">
        <v>362</v>
      </c>
      <c r="B830" s="200">
        <v>0</v>
      </c>
      <c r="C830" s="200">
        <v>0</v>
      </c>
      <c r="D830" s="200">
        <v>0</v>
      </c>
      <c r="E830" s="200">
        <v>20000</v>
      </c>
      <c r="F830" s="203">
        <v>-1</v>
      </c>
      <c r="G830" s="200">
        <v>0</v>
      </c>
      <c r="H830" s="1"/>
      <c r="I830" s="1"/>
      <c r="J830" s="1"/>
      <c r="K830" s="1"/>
      <c r="L830" s="1"/>
      <c r="M830" s="1"/>
    </row>
    <row r="831" spans="1:13" s="7" customFormat="1" ht="17.25">
      <c r="A831" s="24" t="s">
        <v>363</v>
      </c>
      <c r="B831" s="202"/>
      <c r="C831" s="202"/>
      <c r="D831" s="202"/>
      <c r="E831" s="202"/>
      <c r="F831" s="202"/>
      <c r="G831" s="202"/>
      <c r="H831" s="1"/>
      <c r="I831" s="1"/>
      <c r="J831" s="1"/>
      <c r="K831" s="1"/>
      <c r="L831" s="1"/>
      <c r="M831" s="1"/>
    </row>
    <row r="832" spans="1:13" s="7" customFormat="1" ht="17.25">
      <c r="A832" s="24" t="s">
        <v>226</v>
      </c>
      <c r="B832" s="65">
        <v>0</v>
      </c>
      <c r="C832" s="65">
        <v>0</v>
      </c>
      <c r="D832" s="65">
        <v>0</v>
      </c>
      <c r="E832" s="65">
        <v>30000</v>
      </c>
      <c r="F832" s="59">
        <v>-1</v>
      </c>
      <c r="G832" s="65">
        <v>0</v>
      </c>
      <c r="H832" s="1"/>
      <c r="I832" s="1"/>
      <c r="J832" s="1"/>
      <c r="K832" s="1"/>
      <c r="L832" s="1"/>
      <c r="M832" s="1"/>
    </row>
    <row r="833" spans="1:13" s="7" customFormat="1" ht="17.25">
      <c r="A833" s="22" t="s">
        <v>227</v>
      </c>
      <c r="B833" s="66">
        <f>172314+12000+1760</f>
        <v>186074</v>
      </c>
      <c r="C833" s="66">
        <v>0</v>
      </c>
      <c r="D833" s="66">
        <v>92172</v>
      </c>
      <c r="E833" s="66">
        <v>0</v>
      </c>
      <c r="F833" s="74"/>
      <c r="G833" s="66">
        <v>0</v>
      </c>
      <c r="H833" s="1"/>
      <c r="I833" s="1"/>
      <c r="J833" s="1"/>
      <c r="K833" s="1"/>
      <c r="L833" s="1"/>
      <c r="M833" s="1"/>
    </row>
    <row r="834" spans="1:13" s="7" customFormat="1" ht="17.25">
      <c r="A834" s="15" t="s">
        <v>50</v>
      </c>
      <c r="B834" s="92">
        <v>186074</v>
      </c>
      <c r="C834" s="92">
        <v>0</v>
      </c>
      <c r="D834" s="92">
        <f>92172</f>
        <v>92172</v>
      </c>
      <c r="E834" s="92">
        <f>60000+20000+30000+10000+70000+20000+30000</f>
        <v>240000</v>
      </c>
      <c r="F834" s="88"/>
      <c r="G834" s="92">
        <f>G802+G803+G807+G808+G809+G810+G811+G812+G813+G814+G826+G827</f>
        <v>375000</v>
      </c>
      <c r="H834" s="1"/>
      <c r="I834" s="1"/>
      <c r="J834" s="1"/>
      <c r="K834" s="1"/>
      <c r="L834" s="1"/>
    </row>
    <row r="835" spans="1:13" s="7" customFormat="1" ht="17.25">
      <c r="A835" s="16" t="s">
        <v>68</v>
      </c>
      <c r="B835" s="60">
        <v>186074</v>
      </c>
      <c r="C835" s="60">
        <v>0</v>
      </c>
      <c r="D835" s="60">
        <f>D834</f>
        <v>92172</v>
      </c>
      <c r="E835" s="60">
        <v>240000</v>
      </c>
      <c r="F835" s="73"/>
      <c r="G835" s="60">
        <f>G834</f>
        <v>375000</v>
      </c>
      <c r="H835" s="1"/>
      <c r="I835" s="1"/>
      <c r="J835" s="1"/>
      <c r="K835" s="1"/>
      <c r="L835" s="1"/>
    </row>
    <row r="836" spans="1:13" s="34" customFormat="1" ht="17.25">
      <c r="A836" s="199"/>
      <c r="B836" s="199" t="s">
        <v>3</v>
      </c>
      <c r="C836" s="199"/>
      <c r="D836" s="199"/>
      <c r="E836" s="199" t="s">
        <v>4</v>
      </c>
      <c r="F836" s="199"/>
      <c r="G836" s="199"/>
      <c r="H836" s="33"/>
      <c r="I836" s="33"/>
      <c r="J836" s="33"/>
      <c r="K836" s="33"/>
      <c r="L836" s="33"/>
      <c r="M836" s="33"/>
    </row>
    <row r="837" spans="1:13" s="34" customFormat="1" ht="17.25">
      <c r="A837" s="199"/>
      <c r="B837" s="159" t="s">
        <v>5</v>
      </c>
      <c r="C837" s="159" t="s">
        <v>6</v>
      </c>
      <c r="D837" s="159" t="s">
        <v>7</v>
      </c>
      <c r="E837" s="159" t="s">
        <v>9</v>
      </c>
      <c r="F837" s="159" t="s">
        <v>8</v>
      </c>
      <c r="G837" s="159" t="s">
        <v>417</v>
      </c>
      <c r="H837" s="33"/>
      <c r="I837" s="33"/>
      <c r="J837" s="33"/>
      <c r="K837" s="33"/>
      <c r="L837" s="33"/>
      <c r="M837" s="33"/>
    </row>
    <row r="838" spans="1:13" s="7" customFormat="1" ht="17.25">
      <c r="A838" s="21" t="s">
        <v>228</v>
      </c>
      <c r="B838" s="57"/>
      <c r="C838" s="57"/>
      <c r="D838" s="57"/>
      <c r="E838" s="57"/>
      <c r="F838" s="70"/>
      <c r="G838" s="57"/>
      <c r="H838" s="1"/>
      <c r="I838" s="1"/>
      <c r="J838" s="1"/>
      <c r="K838" s="1"/>
      <c r="L838" s="1"/>
    </row>
    <row r="839" spans="1:13" s="7" customFormat="1" ht="17.25">
      <c r="A839" s="22" t="s">
        <v>161</v>
      </c>
      <c r="B839" s="65"/>
      <c r="C839" s="65"/>
      <c r="D839" s="65"/>
      <c r="E839" s="65"/>
      <c r="F839" s="68"/>
      <c r="G839" s="65"/>
      <c r="H839" s="1"/>
      <c r="I839" s="1"/>
      <c r="J839" s="1"/>
      <c r="K839" s="1"/>
      <c r="L839" s="1"/>
    </row>
    <row r="840" spans="1:13" s="7" customFormat="1" ht="17.25">
      <c r="A840" s="24" t="s">
        <v>181</v>
      </c>
      <c r="B840" s="66">
        <v>0</v>
      </c>
      <c r="C840" s="66">
        <v>0</v>
      </c>
      <c r="D840" s="66">
        <v>0</v>
      </c>
      <c r="E840" s="66">
        <v>0</v>
      </c>
      <c r="F840" s="74"/>
      <c r="G840" s="66">
        <v>0</v>
      </c>
      <c r="H840" s="1"/>
      <c r="I840" s="1"/>
      <c r="J840" s="1"/>
      <c r="K840" s="1"/>
      <c r="L840" s="1"/>
    </row>
    <row r="841" spans="1:13" s="7" customFormat="1" ht="17.25">
      <c r="A841" s="22" t="s">
        <v>97</v>
      </c>
      <c r="B841" s="65">
        <v>0</v>
      </c>
      <c r="C841" s="65">
        <v>0</v>
      </c>
      <c r="D841" s="65">
        <v>0</v>
      </c>
      <c r="E841" s="65">
        <v>10000</v>
      </c>
      <c r="F841" s="59">
        <v>-1</v>
      </c>
      <c r="G841" s="65">
        <v>0</v>
      </c>
      <c r="H841" s="1"/>
      <c r="I841" s="1"/>
      <c r="J841" s="1"/>
      <c r="K841" s="1"/>
      <c r="L841" s="1"/>
    </row>
    <row r="842" spans="1:13" s="7" customFormat="1" ht="17.25">
      <c r="A842" s="37" t="s">
        <v>98</v>
      </c>
      <c r="B842" s="93">
        <v>0</v>
      </c>
      <c r="C842" s="93">
        <v>0</v>
      </c>
      <c r="D842" s="93">
        <v>0</v>
      </c>
      <c r="E842" s="93">
        <v>10000</v>
      </c>
      <c r="F842" s="73"/>
      <c r="G842" s="93">
        <v>0</v>
      </c>
      <c r="H842" s="1"/>
      <c r="I842" s="1"/>
      <c r="J842" s="1"/>
      <c r="K842" s="1"/>
      <c r="L842" s="1"/>
    </row>
    <row r="843" spans="1:13" ht="17.25">
      <c r="A843" s="32" t="s">
        <v>99</v>
      </c>
      <c r="B843" s="92">
        <v>0</v>
      </c>
      <c r="C843" s="92">
        <v>0</v>
      </c>
      <c r="D843" s="92">
        <v>0</v>
      </c>
      <c r="E843" s="92">
        <v>10000</v>
      </c>
      <c r="F843" s="88"/>
      <c r="G843" s="92">
        <v>0</v>
      </c>
      <c r="H843" s="1"/>
      <c r="I843" s="1"/>
      <c r="J843" s="1"/>
      <c r="K843" s="1"/>
      <c r="L843" s="1"/>
    </row>
    <row r="844" spans="1:13" ht="17.25">
      <c r="A844" s="16" t="s">
        <v>229</v>
      </c>
      <c r="B844" s="93">
        <v>186074</v>
      </c>
      <c r="C844" s="93">
        <v>0</v>
      </c>
      <c r="D844" s="93">
        <f>D835+D843</f>
        <v>92172</v>
      </c>
      <c r="E844" s="93">
        <v>250000</v>
      </c>
      <c r="F844" s="73"/>
      <c r="G844" s="93">
        <f>375000</f>
        <v>375000</v>
      </c>
      <c r="H844" s="1"/>
      <c r="I844" s="1"/>
      <c r="J844" s="1"/>
      <c r="K844" s="1"/>
      <c r="L844" s="1"/>
    </row>
    <row r="845" spans="1:13" ht="17.25">
      <c r="A845" s="32" t="s">
        <v>230</v>
      </c>
      <c r="B845" s="102">
        <v>186074</v>
      </c>
      <c r="C845" s="102">
        <v>0</v>
      </c>
      <c r="D845" s="102">
        <f>D844</f>
        <v>92172</v>
      </c>
      <c r="E845" s="102">
        <v>250000</v>
      </c>
      <c r="F845" s="101"/>
      <c r="G845" s="102">
        <v>375000</v>
      </c>
      <c r="H845" s="1"/>
      <c r="I845" s="1"/>
      <c r="J845" s="1"/>
      <c r="K845" s="1"/>
      <c r="L845" s="1"/>
    </row>
    <row r="846" spans="1:13" ht="17.25">
      <c r="A846" s="21" t="s">
        <v>231</v>
      </c>
      <c r="B846" s="83"/>
      <c r="C846" s="83"/>
      <c r="D846" s="83"/>
      <c r="E846" s="83"/>
      <c r="F846" s="76"/>
      <c r="G846" s="83"/>
      <c r="H846" s="1"/>
      <c r="I846" s="1"/>
      <c r="J846" s="1"/>
      <c r="K846" s="1"/>
      <c r="L846" s="1"/>
    </row>
    <row r="847" spans="1:13" ht="17.25">
      <c r="A847" s="149" t="s">
        <v>556</v>
      </c>
      <c r="B847" s="83"/>
      <c r="C847" s="83"/>
      <c r="D847" s="83"/>
      <c r="E847" s="83"/>
      <c r="F847" s="113"/>
      <c r="G847" s="83"/>
      <c r="H847" s="1"/>
      <c r="I847" s="1"/>
      <c r="J847" s="1"/>
      <c r="K847" s="1"/>
      <c r="L847" s="1"/>
    </row>
    <row r="848" spans="1:13" ht="17.25">
      <c r="A848" s="21" t="s">
        <v>94</v>
      </c>
      <c r="B848" s="83"/>
      <c r="C848" s="83"/>
      <c r="D848" s="83"/>
      <c r="E848" s="83"/>
      <c r="F848" s="113"/>
      <c r="G848" s="83"/>
      <c r="H848" s="1"/>
      <c r="I848" s="1"/>
      <c r="J848" s="1"/>
      <c r="K848" s="1"/>
      <c r="L848" s="1"/>
    </row>
    <row r="849" spans="1:13" ht="17.25">
      <c r="A849" s="22" t="s">
        <v>161</v>
      </c>
      <c r="B849" s="83"/>
      <c r="C849" s="83"/>
      <c r="D849" s="83"/>
      <c r="E849" s="83"/>
      <c r="F849" s="113"/>
      <c r="G849" s="83"/>
      <c r="H849" s="1"/>
      <c r="I849" s="1"/>
      <c r="J849" s="1"/>
      <c r="K849" s="1"/>
      <c r="L849" s="1"/>
    </row>
    <row r="850" spans="1:13" ht="17.25">
      <c r="A850" s="24" t="s">
        <v>96</v>
      </c>
      <c r="B850" s="83">
        <v>363570</v>
      </c>
      <c r="C850" s="83">
        <v>0</v>
      </c>
      <c r="D850" s="83">
        <v>0</v>
      </c>
      <c r="E850" s="83">
        <v>50000</v>
      </c>
      <c r="F850" s="116">
        <v>-1</v>
      </c>
      <c r="G850" s="83">
        <v>0</v>
      </c>
      <c r="H850" s="1"/>
      <c r="I850" s="1"/>
      <c r="J850" s="1"/>
      <c r="K850" s="1"/>
      <c r="L850" s="1"/>
    </row>
    <row r="851" spans="1:13" ht="17.25">
      <c r="A851" s="37" t="s">
        <v>98</v>
      </c>
      <c r="B851" s="97">
        <v>363570</v>
      </c>
      <c r="C851" s="97">
        <v>0</v>
      </c>
      <c r="D851" s="97">
        <v>0</v>
      </c>
      <c r="E851" s="97">
        <v>50000</v>
      </c>
      <c r="F851" s="98"/>
      <c r="G851" s="97">
        <v>0</v>
      </c>
      <c r="H851" s="1"/>
      <c r="I851" s="1"/>
      <c r="J851" s="1"/>
      <c r="K851" s="1"/>
      <c r="L851" s="1"/>
    </row>
    <row r="852" spans="1:13" ht="17.25">
      <c r="A852" s="32" t="s">
        <v>99</v>
      </c>
      <c r="B852" s="97">
        <v>363570</v>
      </c>
      <c r="C852" s="97">
        <v>0</v>
      </c>
      <c r="D852" s="97">
        <v>0</v>
      </c>
      <c r="E852" s="97">
        <v>50000</v>
      </c>
      <c r="F852" s="98"/>
      <c r="G852" s="97">
        <v>0</v>
      </c>
      <c r="H852" s="1"/>
      <c r="I852" s="1"/>
      <c r="J852" s="1"/>
      <c r="K852" s="1"/>
      <c r="L852" s="1"/>
    </row>
    <row r="853" spans="1:13" ht="17.25">
      <c r="A853" s="150" t="s">
        <v>557</v>
      </c>
      <c r="B853" s="97">
        <v>363570</v>
      </c>
      <c r="C853" s="97">
        <v>0</v>
      </c>
      <c r="D853" s="97">
        <v>0</v>
      </c>
      <c r="E853" s="97">
        <v>50000</v>
      </c>
      <c r="F853" s="98"/>
      <c r="G853" s="97">
        <v>0</v>
      </c>
      <c r="H853" s="1"/>
      <c r="I853" s="1"/>
      <c r="J853" s="1"/>
      <c r="K853" s="1"/>
      <c r="L853" s="1"/>
    </row>
    <row r="854" spans="1:13" ht="17.25">
      <c r="A854" s="21" t="s">
        <v>232</v>
      </c>
      <c r="B854" s="65"/>
      <c r="C854" s="65"/>
      <c r="D854" s="65"/>
      <c r="E854" s="65"/>
      <c r="F854" s="68"/>
      <c r="G854" s="65"/>
      <c r="H854" s="1"/>
      <c r="I854" s="1"/>
      <c r="J854" s="1"/>
      <c r="K854" s="1"/>
      <c r="L854" s="1"/>
    </row>
    <row r="855" spans="1:13" ht="17.25">
      <c r="A855" s="21" t="s">
        <v>33</v>
      </c>
      <c r="B855" s="66"/>
      <c r="C855" s="66"/>
      <c r="D855" s="66"/>
      <c r="E855" s="66"/>
      <c r="F855" s="69"/>
      <c r="G855" s="66"/>
      <c r="H855" s="1"/>
      <c r="I855" s="1"/>
      <c r="J855" s="1"/>
      <c r="K855" s="1"/>
      <c r="L855" s="1"/>
    </row>
    <row r="856" spans="1:13" ht="17.25">
      <c r="A856" s="30" t="s">
        <v>41</v>
      </c>
      <c r="B856" s="83"/>
      <c r="C856" s="83"/>
      <c r="D856" s="83"/>
      <c r="E856" s="83"/>
      <c r="F856" s="76"/>
      <c r="G856" s="83"/>
    </row>
    <row r="857" spans="1:13" ht="17.25">
      <c r="A857" s="27" t="s">
        <v>44</v>
      </c>
      <c r="B857" s="200"/>
      <c r="C857" s="200"/>
      <c r="D857" s="200"/>
      <c r="E857" s="200"/>
      <c r="F857" s="200"/>
      <c r="G857" s="200"/>
    </row>
    <row r="858" spans="1:13" ht="17.25">
      <c r="A858" s="24" t="s">
        <v>308</v>
      </c>
      <c r="B858" s="202"/>
      <c r="C858" s="202"/>
      <c r="D858" s="202"/>
      <c r="E858" s="202"/>
      <c r="F858" s="202"/>
      <c r="G858" s="202"/>
    </row>
    <row r="859" spans="1:13" ht="17.25">
      <c r="A859" s="24" t="s">
        <v>147</v>
      </c>
      <c r="B859" s="114">
        <v>61000</v>
      </c>
      <c r="C859" s="114">
        <v>0</v>
      </c>
      <c r="D859" s="114">
        <v>0</v>
      </c>
      <c r="E859" s="114">
        <v>0</v>
      </c>
      <c r="F859" s="122">
        <v>1</v>
      </c>
      <c r="G859" s="114">
        <v>50000</v>
      </c>
    </row>
    <row r="860" spans="1:13" ht="17.25">
      <c r="A860" s="24" t="s">
        <v>558</v>
      </c>
      <c r="B860" s="114">
        <v>0</v>
      </c>
      <c r="C860" s="114">
        <v>0</v>
      </c>
      <c r="D860" s="114">
        <v>0</v>
      </c>
      <c r="E860" s="114">
        <v>0</v>
      </c>
      <c r="F860" s="122">
        <v>1</v>
      </c>
      <c r="G860" s="114">
        <v>100000</v>
      </c>
    </row>
    <row r="861" spans="1:13" ht="17.25">
      <c r="A861" s="22" t="s">
        <v>234</v>
      </c>
      <c r="B861" s="65">
        <v>0</v>
      </c>
      <c r="C861" s="65">
        <v>0</v>
      </c>
      <c r="D861" s="65">
        <v>0</v>
      </c>
      <c r="E861" s="65">
        <v>100000</v>
      </c>
      <c r="F861" s="59">
        <v>-1</v>
      </c>
      <c r="G861" s="65">
        <v>0</v>
      </c>
    </row>
    <row r="862" spans="1:13" ht="17.25">
      <c r="A862" s="24" t="s">
        <v>233</v>
      </c>
      <c r="B862" s="66">
        <v>200607</v>
      </c>
      <c r="C862" s="66">
        <v>0</v>
      </c>
      <c r="D862" s="66">
        <v>109857</v>
      </c>
      <c r="E862" s="66">
        <v>0</v>
      </c>
      <c r="F862" s="74"/>
      <c r="G862" s="66">
        <v>0</v>
      </c>
    </row>
    <row r="863" spans="1:13" ht="17.25">
      <c r="A863" s="16" t="s">
        <v>50</v>
      </c>
      <c r="B863" s="92">
        <f>SUM(B859:B862)</f>
        <v>261607</v>
      </c>
      <c r="C863" s="92">
        <v>0</v>
      </c>
      <c r="D863" s="92">
        <v>109857</v>
      </c>
      <c r="E863" s="92">
        <v>100000</v>
      </c>
      <c r="F863" s="88"/>
      <c r="G863" s="92">
        <v>150000</v>
      </c>
    </row>
    <row r="864" spans="1:13" s="7" customFormat="1" ht="17.25">
      <c r="A864" s="21" t="s">
        <v>51</v>
      </c>
      <c r="B864" s="65"/>
      <c r="C864" s="65"/>
      <c r="D864" s="65"/>
      <c r="E864" s="65"/>
      <c r="F864" s="68"/>
      <c r="G864" s="65"/>
      <c r="H864" s="1"/>
      <c r="I864" s="1"/>
      <c r="J864" s="1"/>
      <c r="K864" s="1"/>
      <c r="L864" s="1"/>
      <c r="M864" s="1"/>
    </row>
    <row r="865" spans="1:13" s="7" customFormat="1" ht="17.25">
      <c r="A865" s="22" t="s">
        <v>235</v>
      </c>
      <c r="B865" s="65">
        <v>49800</v>
      </c>
      <c r="C865" s="65">
        <v>0</v>
      </c>
      <c r="D865" s="65">
        <v>0</v>
      </c>
      <c r="E865" s="65">
        <v>30000</v>
      </c>
      <c r="F865" s="59">
        <v>0</v>
      </c>
      <c r="G865" s="65">
        <v>30000</v>
      </c>
      <c r="H865" s="1"/>
      <c r="I865" s="1"/>
      <c r="J865" s="1"/>
      <c r="K865" s="1"/>
      <c r="L865" s="1"/>
      <c r="M865" s="1"/>
    </row>
    <row r="866" spans="1:13" s="7" customFormat="1" ht="17.25">
      <c r="A866" s="15" t="s">
        <v>60</v>
      </c>
      <c r="B866" s="93">
        <v>49800</v>
      </c>
      <c r="C866" s="93">
        <v>0</v>
      </c>
      <c r="D866" s="93">
        <v>0</v>
      </c>
      <c r="E866" s="93">
        <v>30000</v>
      </c>
      <c r="F866" s="73"/>
      <c r="G866" s="93">
        <v>30000</v>
      </c>
      <c r="H866" s="1"/>
      <c r="I866" s="1"/>
      <c r="J866" s="1"/>
      <c r="K866" s="1"/>
      <c r="L866" s="1"/>
      <c r="M866" s="1"/>
    </row>
    <row r="867" spans="1:13" s="34" customFormat="1" ht="17.25">
      <c r="A867" s="199"/>
      <c r="B867" s="199" t="s">
        <v>3</v>
      </c>
      <c r="C867" s="199"/>
      <c r="D867" s="199"/>
      <c r="E867" s="199" t="s">
        <v>4</v>
      </c>
      <c r="F867" s="199"/>
      <c r="G867" s="199"/>
      <c r="H867" s="33"/>
      <c r="I867" s="33"/>
      <c r="J867" s="33"/>
      <c r="K867" s="33"/>
      <c r="L867" s="33"/>
      <c r="M867" s="33"/>
    </row>
    <row r="868" spans="1:13" s="34" customFormat="1" ht="17.25">
      <c r="A868" s="199"/>
      <c r="B868" s="159" t="s">
        <v>5</v>
      </c>
      <c r="C868" s="159" t="s">
        <v>6</v>
      </c>
      <c r="D868" s="159" t="s">
        <v>7</v>
      </c>
      <c r="E868" s="159" t="s">
        <v>9</v>
      </c>
      <c r="F868" s="159" t="s">
        <v>8</v>
      </c>
      <c r="G868" s="159" t="s">
        <v>417</v>
      </c>
      <c r="H868" s="33"/>
      <c r="I868" s="33"/>
      <c r="J868" s="33"/>
      <c r="K868" s="33"/>
      <c r="L868" s="33"/>
      <c r="M868" s="33"/>
    </row>
    <row r="869" spans="1:13" s="7" customFormat="1" ht="17.25">
      <c r="A869" s="30" t="s">
        <v>61</v>
      </c>
      <c r="B869" s="66"/>
      <c r="C869" s="66"/>
      <c r="D869" s="66"/>
      <c r="E869" s="66"/>
      <c r="F869" s="69"/>
      <c r="G869" s="66"/>
      <c r="H869" s="1"/>
      <c r="I869" s="1"/>
      <c r="J869" s="1"/>
      <c r="K869" s="1"/>
      <c r="L869" s="1"/>
      <c r="M869" s="1"/>
    </row>
    <row r="870" spans="1:13" s="7" customFormat="1" ht="17.25">
      <c r="A870" s="22" t="s">
        <v>62</v>
      </c>
      <c r="B870" s="66">
        <v>2729.48</v>
      </c>
      <c r="C870" s="66">
        <v>0</v>
      </c>
      <c r="D870" s="66">
        <v>4283.5</v>
      </c>
      <c r="E870" s="66">
        <v>4000</v>
      </c>
      <c r="F870" s="74">
        <v>0</v>
      </c>
      <c r="G870" s="66">
        <v>4000</v>
      </c>
      <c r="H870" s="1"/>
      <c r="I870" s="1"/>
      <c r="J870" s="1"/>
      <c r="K870" s="1"/>
      <c r="L870" s="1"/>
      <c r="M870" s="1"/>
    </row>
    <row r="871" spans="1:13" s="7" customFormat="1" ht="17.25">
      <c r="A871" s="15" t="s">
        <v>67</v>
      </c>
      <c r="B871" s="93">
        <v>2729.48</v>
      </c>
      <c r="C871" s="93">
        <v>0</v>
      </c>
      <c r="D871" s="93">
        <v>4283.5</v>
      </c>
      <c r="E871" s="93">
        <v>4000</v>
      </c>
      <c r="F871" s="73"/>
      <c r="G871" s="93">
        <v>4000</v>
      </c>
      <c r="H871" s="1"/>
      <c r="I871" s="1"/>
      <c r="J871" s="1"/>
      <c r="K871" s="1"/>
      <c r="L871" s="1"/>
      <c r="M871" s="1"/>
    </row>
    <row r="872" spans="1:13" s="7" customFormat="1" ht="17.25">
      <c r="A872" s="28" t="s">
        <v>68</v>
      </c>
      <c r="B872" s="92">
        <f>B863+B866+B871</f>
        <v>314136.48</v>
      </c>
      <c r="C872" s="92">
        <v>0</v>
      </c>
      <c r="D872" s="92">
        <f>D863+D871</f>
        <v>114140.5</v>
      </c>
      <c r="E872" s="92">
        <v>134000</v>
      </c>
      <c r="F872" s="88"/>
      <c r="G872" s="92">
        <f>G863+G866+G871</f>
        <v>184000</v>
      </c>
      <c r="H872" s="1"/>
      <c r="I872" s="1"/>
      <c r="J872" s="1"/>
      <c r="K872" s="1"/>
      <c r="L872" s="1"/>
      <c r="M872" s="1"/>
    </row>
    <row r="873" spans="1:13" s="7" customFormat="1" ht="17.25">
      <c r="A873" s="21" t="s">
        <v>69</v>
      </c>
      <c r="B873" s="65"/>
      <c r="C873" s="65"/>
      <c r="D873" s="65"/>
      <c r="E873" s="65"/>
      <c r="F873" s="68"/>
      <c r="G873" s="65"/>
      <c r="H873" s="1"/>
      <c r="I873" s="1"/>
      <c r="J873" s="1"/>
      <c r="K873" s="1"/>
      <c r="L873" s="1"/>
      <c r="M873" s="1"/>
    </row>
    <row r="874" spans="1:13" s="7" customFormat="1" ht="17.25">
      <c r="A874" s="21" t="s">
        <v>70</v>
      </c>
      <c r="B874" s="66"/>
      <c r="C874" s="66"/>
      <c r="D874" s="66"/>
      <c r="E874" s="66"/>
      <c r="F874" s="69"/>
      <c r="G874" s="66"/>
      <c r="H874" s="1"/>
      <c r="I874" s="1"/>
      <c r="J874" s="1"/>
      <c r="K874" s="1"/>
      <c r="L874" s="1"/>
      <c r="M874" s="1"/>
    </row>
    <row r="875" spans="1:13" s="7" customFormat="1" ht="17.25">
      <c r="A875" s="22" t="s">
        <v>236</v>
      </c>
      <c r="B875" s="83"/>
      <c r="C875" s="83"/>
      <c r="D875" s="83"/>
      <c r="E875" s="83"/>
      <c r="F875" s="76"/>
      <c r="G875" s="83"/>
      <c r="H875" s="1"/>
      <c r="I875" s="1"/>
      <c r="J875" s="1"/>
      <c r="K875" s="1"/>
      <c r="L875" s="1"/>
      <c r="M875" s="1"/>
    </row>
    <row r="876" spans="1:13" s="7" customFormat="1" ht="17.25">
      <c r="A876" s="24" t="s">
        <v>237</v>
      </c>
      <c r="B876" s="65">
        <v>0</v>
      </c>
      <c r="C876" s="65">
        <v>0</v>
      </c>
      <c r="D876" s="65">
        <v>0</v>
      </c>
      <c r="E876" s="65">
        <v>100000</v>
      </c>
      <c r="F876" s="59">
        <v>1</v>
      </c>
      <c r="G876" s="65">
        <v>0</v>
      </c>
      <c r="H876" s="1"/>
      <c r="I876" s="1"/>
      <c r="J876" s="1"/>
      <c r="K876" s="1"/>
      <c r="L876" s="1"/>
      <c r="M876" s="1"/>
    </row>
    <row r="877" spans="1:13" s="7" customFormat="1" ht="17.25">
      <c r="A877" s="22" t="s">
        <v>238</v>
      </c>
      <c r="B877" s="66">
        <v>0</v>
      </c>
      <c r="C877" s="66">
        <v>0</v>
      </c>
      <c r="D877" s="66">
        <v>0</v>
      </c>
      <c r="E877" s="66">
        <v>0</v>
      </c>
      <c r="F877" s="74"/>
      <c r="G877" s="66">
        <v>0</v>
      </c>
      <c r="H877" s="1"/>
      <c r="I877" s="1"/>
      <c r="J877" s="1"/>
      <c r="K877" s="1"/>
      <c r="L877" s="1"/>
      <c r="M877" s="1"/>
    </row>
    <row r="878" spans="1:13" s="7" customFormat="1" ht="17.25">
      <c r="A878" s="15" t="s">
        <v>82</v>
      </c>
      <c r="B878" s="92">
        <v>0</v>
      </c>
      <c r="C878" s="92">
        <v>0</v>
      </c>
      <c r="D878" s="92">
        <v>0</v>
      </c>
      <c r="E878" s="92">
        <v>100000</v>
      </c>
      <c r="F878" s="88"/>
      <c r="G878" s="92">
        <v>0</v>
      </c>
      <c r="H878" s="1"/>
      <c r="I878" s="1"/>
      <c r="J878" s="1"/>
      <c r="K878" s="1"/>
      <c r="L878" s="1"/>
    </row>
    <row r="879" spans="1:13" s="7" customFormat="1" ht="17.25">
      <c r="A879" s="16" t="s">
        <v>88</v>
      </c>
      <c r="B879" s="60">
        <v>0</v>
      </c>
      <c r="C879" s="60">
        <v>0</v>
      </c>
      <c r="D879" s="60">
        <v>0</v>
      </c>
      <c r="E879" s="60">
        <v>100000</v>
      </c>
      <c r="F879" s="73"/>
      <c r="G879" s="60">
        <v>0</v>
      </c>
      <c r="H879" s="1"/>
      <c r="I879" s="1"/>
      <c r="J879" s="1"/>
      <c r="K879" s="1"/>
      <c r="L879" s="1"/>
    </row>
    <row r="880" spans="1:13" s="7" customFormat="1" ht="17.25">
      <c r="A880" s="32" t="s">
        <v>239</v>
      </c>
      <c r="B880" s="100">
        <f>B872</f>
        <v>314136.48</v>
      </c>
      <c r="C880" s="100">
        <v>0</v>
      </c>
      <c r="D880" s="100">
        <f>D872+D879</f>
        <v>114140.5</v>
      </c>
      <c r="E880" s="100">
        <f>E872+E879</f>
        <v>234000</v>
      </c>
      <c r="F880" s="101"/>
      <c r="G880" s="100">
        <f>G872</f>
        <v>184000</v>
      </c>
      <c r="H880" s="1"/>
      <c r="I880" s="1"/>
      <c r="J880" s="1"/>
      <c r="K880" s="1"/>
      <c r="L880" s="1"/>
    </row>
    <row r="881" spans="1:12" s="7" customFormat="1" ht="17.25">
      <c r="A881" s="21" t="s">
        <v>240</v>
      </c>
      <c r="B881" s="19"/>
      <c r="C881" s="19"/>
      <c r="D881" s="19"/>
      <c r="E881" s="19"/>
      <c r="F881" s="19"/>
      <c r="G881" s="19"/>
      <c r="H881" s="1"/>
      <c r="I881" s="1"/>
      <c r="J881" s="1"/>
      <c r="K881" s="1"/>
      <c r="L881" s="1"/>
    </row>
    <row r="882" spans="1:12" s="7" customFormat="1" ht="17.25">
      <c r="A882" s="23" t="s">
        <v>33</v>
      </c>
      <c r="B882" s="18"/>
      <c r="C882" s="18"/>
      <c r="D882" s="18"/>
      <c r="E882" s="18"/>
      <c r="F882" s="39"/>
      <c r="G882" s="18"/>
      <c r="H882" s="1"/>
      <c r="I882" s="1"/>
      <c r="J882" s="1"/>
      <c r="K882" s="1"/>
      <c r="L882" s="1"/>
    </row>
    <row r="883" spans="1:12" s="7" customFormat="1" ht="17.25">
      <c r="A883" s="21" t="s">
        <v>41</v>
      </c>
      <c r="B883" s="19"/>
      <c r="C883" s="19"/>
      <c r="D883" s="19"/>
      <c r="E883" s="19"/>
      <c r="F883" s="53"/>
      <c r="G883" s="19"/>
      <c r="H883" s="1"/>
      <c r="I883" s="1"/>
      <c r="J883" s="1"/>
      <c r="K883" s="1"/>
      <c r="L883" s="1"/>
    </row>
    <row r="884" spans="1:12" s="7" customFormat="1" ht="17.25">
      <c r="A884" s="36" t="s">
        <v>241</v>
      </c>
      <c r="B884" s="19"/>
      <c r="C884" s="19"/>
      <c r="D884" s="19"/>
      <c r="E884" s="19"/>
      <c r="F884" s="53"/>
      <c r="G884" s="19"/>
      <c r="H884" s="1"/>
      <c r="I884" s="1"/>
      <c r="J884" s="1"/>
      <c r="K884" s="1"/>
      <c r="L884" s="1"/>
    </row>
    <row r="885" spans="1:12" ht="17.25">
      <c r="A885" s="24" t="s">
        <v>242</v>
      </c>
      <c r="B885" s="66">
        <v>0</v>
      </c>
      <c r="C885" s="66">
        <v>0</v>
      </c>
      <c r="D885" s="66">
        <v>0</v>
      </c>
      <c r="E885" s="66">
        <v>0</v>
      </c>
      <c r="F885" s="74"/>
      <c r="G885" s="66">
        <v>0</v>
      </c>
      <c r="H885" s="1"/>
      <c r="I885" s="1"/>
      <c r="J885" s="1"/>
      <c r="K885" s="1"/>
      <c r="L885" s="1"/>
    </row>
    <row r="886" spans="1:12" ht="17.25">
      <c r="A886" s="24" t="s">
        <v>243</v>
      </c>
      <c r="B886" s="65">
        <f>98575+81000</f>
        <v>179575</v>
      </c>
      <c r="C886" s="65">
        <v>82000</v>
      </c>
      <c r="D886" s="65">
        <f>37830+83000</f>
        <v>120830</v>
      </c>
      <c r="E886" s="65">
        <v>0</v>
      </c>
      <c r="F886" s="59">
        <v>1</v>
      </c>
      <c r="G886" s="65">
        <v>110000</v>
      </c>
      <c r="H886" s="1"/>
      <c r="I886" s="1"/>
      <c r="J886" s="1"/>
      <c r="K886" s="1"/>
      <c r="L886" s="1"/>
    </row>
    <row r="887" spans="1:12" ht="17.25">
      <c r="A887" s="22" t="s">
        <v>246</v>
      </c>
      <c r="B887" s="66">
        <v>0</v>
      </c>
      <c r="C887" s="66">
        <v>0</v>
      </c>
      <c r="D887" s="66">
        <v>0</v>
      </c>
      <c r="E887" s="66">
        <v>0</v>
      </c>
      <c r="F887" s="122">
        <v>1</v>
      </c>
      <c r="G887" s="66">
        <v>50000</v>
      </c>
    </row>
    <row r="888" spans="1:12" ht="17.25">
      <c r="A888" s="26" t="s">
        <v>244</v>
      </c>
      <c r="B888" s="66">
        <v>0</v>
      </c>
      <c r="C888" s="66">
        <v>0</v>
      </c>
      <c r="D888" s="66">
        <v>0</v>
      </c>
      <c r="E888" s="66">
        <v>0</v>
      </c>
      <c r="F888" s="74"/>
      <c r="G888" s="66">
        <v>0</v>
      </c>
      <c r="H888" s="1"/>
      <c r="I888" s="1"/>
      <c r="J888" s="1"/>
      <c r="K888" s="1"/>
      <c r="L888" s="1"/>
    </row>
    <row r="889" spans="1:12" ht="17.25">
      <c r="A889" s="27" t="s">
        <v>364</v>
      </c>
      <c r="B889" s="200">
        <v>0</v>
      </c>
      <c r="C889" s="200">
        <v>0</v>
      </c>
      <c r="D889" s="200">
        <v>0</v>
      </c>
      <c r="E889" s="200">
        <v>0</v>
      </c>
      <c r="F889" s="203"/>
      <c r="G889" s="200">
        <v>0</v>
      </c>
      <c r="H889" s="1"/>
      <c r="I889" s="1"/>
      <c r="J889" s="1"/>
      <c r="K889" s="1"/>
      <c r="L889" s="1"/>
    </row>
    <row r="890" spans="1:12" ht="17.25">
      <c r="A890" s="24" t="s">
        <v>355</v>
      </c>
      <c r="B890" s="202"/>
      <c r="C890" s="202"/>
      <c r="D890" s="202"/>
      <c r="E890" s="202"/>
      <c r="F890" s="202"/>
      <c r="G890" s="202"/>
      <c r="H890" s="1"/>
      <c r="I890" s="1"/>
      <c r="J890" s="1"/>
      <c r="K890" s="1"/>
      <c r="L890" s="1"/>
    </row>
    <row r="891" spans="1:12" ht="17.25">
      <c r="A891" s="24" t="s">
        <v>245</v>
      </c>
      <c r="B891" s="65">
        <v>0</v>
      </c>
      <c r="C891" s="65">
        <v>0</v>
      </c>
      <c r="D891" s="65">
        <v>0</v>
      </c>
      <c r="E891" s="65">
        <v>0</v>
      </c>
      <c r="F891" s="59"/>
      <c r="G891" s="65">
        <v>0</v>
      </c>
      <c r="H891" s="1"/>
      <c r="I891" s="1"/>
      <c r="J891" s="1"/>
      <c r="K891" s="1"/>
      <c r="L891" s="1"/>
    </row>
    <row r="892" spans="1:12" ht="17.25">
      <c r="A892" s="24" t="s">
        <v>246</v>
      </c>
      <c r="B892" s="66">
        <v>63995</v>
      </c>
      <c r="C892" s="66">
        <v>65000</v>
      </c>
      <c r="D892" s="66">
        <v>65000</v>
      </c>
      <c r="E892" s="66">
        <v>0</v>
      </c>
      <c r="F892" s="74"/>
      <c r="G892" s="66">
        <v>0</v>
      </c>
      <c r="H892" s="1"/>
      <c r="I892" s="1"/>
      <c r="J892" s="1"/>
      <c r="K892" s="1"/>
      <c r="L892" s="1"/>
    </row>
    <row r="893" spans="1:12" ht="17.25">
      <c r="A893" s="24" t="s">
        <v>243</v>
      </c>
      <c r="B893" s="83">
        <v>0</v>
      </c>
      <c r="C893" s="83">
        <v>0</v>
      </c>
      <c r="D893" s="83">
        <v>0</v>
      </c>
      <c r="E893" s="83">
        <v>20720</v>
      </c>
      <c r="F893" s="96">
        <v>-1</v>
      </c>
      <c r="G893" s="83">
        <v>0</v>
      </c>
    </row>
    <row r="894" spans="1:12" ht="17.25">
      <c r="A894" s="24" t="s">
        <v>244</v>
      </c>
      <c r="B894" s="65">
        <v>0</v>
      </c>
      <c r="C894" s="65">
        <v>0</v>
      </c>
      <c r="D894" s="65">
        <v>0</v>
      </c>
      <c r="E894" s="65">
        <v>20000</v>
      </c>
      <c r="F894" s="59">
        <v>-1</v>
      </c>
      <c r="G894" s="65">
        <v>0</v>
      </c>
    </row>
    <row r="895" spans="1:12" ht="17.25">
      <c r="A895" s="22" t="s">
        <v>246</v>
      </c>
      <c r="B895" s="66">
        <v>0</v>
      </c>
      <c r="C895" s="66">
        <v>0</v>
      </c>
      <c r="D895" s="66">
        <v>0</v>
      </c>
      <c r="E895" s="66">
        <v>50000</v>
      </c>
      <c r="F895" s="74">
        <v>-1</v>
      </c>
      <c r="G895" s="66">
        <v>0</v>
      </c>
    </row>
    <row r="896" spans="1:12" ht="17.25">
      <c r="A896" s="16" t="s">
        <v>50</v>
      </c>
      <c r="B896" s="93">
        <f>SUM(B886:B895)</f>
        <v>243570</v>
      </c>
      <c r="C896" s="93">
        <f>SUM(C886:C895)</f>
        <v>147000</v>
      </c>
      <c r="D896" s="93">
        <f>SUM(D885:D895)</f>
        <v>185830</v>
      </c>
      <c r="E896" s="93">
        <f>SUM(E885:E895)</f>
        <v>90720</v>
      </c>
      <c r="F896" s="73"/>
      <c r="G896" s="93">
        <f>SUM(G885:G895)</f>
        <v>160000</v>
      </c>
    </row>
    <row r="897" spans="1:13" ht="17.25">
      <c r="A897" s="16" t="s">
        <v>68</v>
      </c>
      <c r="B897" s="92">
        <f>B896</f>
        <v>243570</v>
      </c>
      <c r="C897" s="92">
        <v>147000</v>
      </c>
      <c r="D897" s="92">
        <f>D896</f>
        <v>185830</v>
      </c>
      <c r="E897" s="92">
        <f>E896</f>
        <v>90720</v>
      </c>
      <c r="F897" s="88"/>
      <c r="G897" s="92">
        <f>G896</f>
        <v>160000</v>
      </c>
    </row>
    <row r="898" spans="1:13" s="34" customFormat="1" ht="17.25">
      <c r="A898" s="199"/>
      <c r="B898" s="199" t="s">
        <v>3</v>
      </c>
      <c r="C898" s="199"/>
      <c r="D898" s="199"/>
      <c r="E898" s="199" t="s">
        <v>4</v>
      </c>
      <c r="F898" s="199"/>
      <c r="G898" s="199"/>
      <c r="H898" s="33"/>
      <c r="I898" s="33"/>
      <c r="J898" s="33"/>
      <c r="K898" s="33"/>
      <c r="L898" s="33"/>
      <c r="M898" s="33"/>
    </row>
    <row r="899" spans="1:13" s="34" customFormat="1" ht="17.25">
      <c r="A899" s="199"/>
      <c r="B899" s="159" t="s">
        <v>5</v>
      </c>
      <c r="C899" s="159" t="s">
        <v>6</v>
      </c>
      <c r="D899" s="159" t="s">
        <v>7</v>
      </c>
      <c r="E899" s="159" t="s">
        <v>9</v>
      </c>
      <c r="F899" s="159" t="s">
        <v>8</v>
      </c>
      <c r="G899" s="159" t="s">
        <v>417</v>
      </c>
      <c r="H899" s="33"/>
      <c r="I899" s="33"/>
      <c r="J899" s="33"/>
      <c r="K899" s="33"/>
      <c r="L899" s="33"/>
      <c r="M899" s="33"/>
    </row>
    <row r="900" spans="1:13" s="7" customFormat="1" ht="17.25">
      <c r="A900" s="21" t="s">
        <v>69</v>
      </c>
      <c r="B900" s="65"/>
      <c r="C900" s="65"/>
      <c r="D900" s="65"/>
      <c r="E900" s="65"/>
      <c r="F900" s="68"/>
      <c r="G900" s="65"/>
      <c r="H900" s="1"/>
      <c r="I900" s="1"/>
      <c r="J900" s="1"/>
      <c r="K900" s="1"/>
      <c r="L900" s="1"/>
      <c r="M900" s="1"/>
    </row>
    <row r="901" spans="1:13" s="7" customFormat="1" ht="17.25">
      <c r="A901" s="21" t="s">
        <v>152</v>
      </c>
      <c r="B901" s="65"/>
      <c r="C901" s="65"/>
      <c r="D901" s="65"/>
      <c r="E901" s="65"/>
      <c r="F901" s="68"/>
      <c r="G901" s="65"/>
      <c r="H901" s="1"/>
      <c r="I901" s="1"/>
      <c r="J901" s="1"/>
      <c r="K901" s="1"/>
      <c r="L901" s="1"/>
      <c r="M901" s="1"/>
    </row>
    <row r="902" spans="1:13" s="7" customFormat="1" ht="17.25">
      <c r="A902" s="26" t="s">
        <v>158</v>
      </c>
      <c r="B902" s="65"/>
      <c r="C902" s="65"/>
      <c r="D902" s="65"/>
      <c r="E902" s="65"/>
      <c r="F902" s="68"/>
      <c r="G902" s="65"/>
      <c r="H902" s="1"/>
      <c r="I902" s="1"/>
      <c r="J902" s="1"/>
      <c r="K902" s="1"/>
      <c r="L902" s="1"/>
      <c r="M902" s="1"/>
    </row>
    <row r="903" spans="1:13" s="7" customFormat="1" ht="17.25">
      <c r="A903" s="27" t="s">
        <v>365</v>
      </c>
      <c r="B903" s="200">
        <v>0</v>
      </c>
      <c r="C903" s="200">
        <v>0</v>
      </c>
      <c r="D903" s="200">
        <v>0</v>
      </c>
      <c r="E903" s="200">
        <v>50000</v>
      </c>
      <c r="F903" s="203">
        <v>-1</v>
      </c>
      <c r="G903" s="200">
        <v>0</v>
      </c>
      <c r="H903" s="1"/>
      <c r="I903" s="1"/>
      <c r="J903" s="1"/>
      <c r="K903" s="1"/>
      <c r="L903" s="1"/>
      <c r="M903" s="1"/>
    </row>
    <row r="904" spans="1:13" s="7" customFormat="1" ht="17.25">
      <c r="A904" s="24" t="s">
        <v>366</v>
      </c>
      <c r="B904" s="202"/>
      <c r="C904" s="202"/>
      <c r="D904" s="202"/>
      <c r="E904" s="202"/>
      <c r="F904" s="202"/>
      <c r="G904" s="202"/>
      <c r="H904" s="1"/>
      <c r="I904" s="1"/>
      <c r="J904" s="1"/>
      <c r="K904" s="1"/>
      <c r="L904" s="1"/>
      <c r="M904" s="1"/>
    </row>
    <row r="905" spans="1:13" s="7" customFormat="1" ht="17.25">
      <c r="A905" s="15" t="s">
        <v>160</v>
      </c>
      <c r="B905" s="92">
        <v>0</v>
      </c>
      <c r="C905" s="92">
        <v>0</v>
      </c>
      <c r="D905" s="92">
        <v>0</v>
      </c>
      <c r="E905" s="92">
        <v>50000</v>
      </c>
      <c r="F905" s="88"/>
      <c r="G905" s="92">
        <v>0</v>
      </c>
      <c r="H905" s="1"/>
      <c r="I905" s="1"/>
      <c r="J905" s="1"/>
      <c r="K905" s="1"/>
      <c r="L905" s="1"/>
      <c r="M905" s="1"/>
    </row>
    <row r="906" spans="1:13" s="7" customFormat="1" ht="17.25">
      <c r="A906" s="16" t="s">
        <v>88</v>
      </c>
      <c r="B906" s="93">
        <v>0</v>
      </c>
      <c r="C906" s="93">
        <v>0</v>
      </c>
      <c r="D906" s="93">
        <v>0</v>
      </c>
      <c r="E906" s="93">
        <v>50000</v>
      </c>
      <c r="F906" s="73"/>
      <c r="G906" s="93">
        <v>0</v>
      </c>
      <c r="H906" s="1"/>
      <c r="I906" s="1"/>
      <c r="J906" s="1"/>
      <c r="K906" s="1"/>
      <c r="L906" s="1"/>
      <c r="M906" s="1"/>
    </row>
    <row r="907" spans="1:13" s="7" customFormat="1" ht="17.25">
      <c r="A907" s="38" t="s">
        <v>94</v>
      </c>
      <c r="B907" s="18"/>
      <c r="C907" s="18"/>
      <c r="D907" s="18"/>
      <c r="E907" s="18"/>
      <c r="F907" s="39"/>
      <c r="G907" s="18"/>
      <c r="H907" s="1"/>
      <c r="I907" s="1"/>
      <c r="J907" s="1"/>
      <c r="K907" s="1"/>
      <c r="L907" s="1"/>
      <c r="M907" s="1"/>
    </row>
    <row r="908" spans="1:13" s="7" customFormat="1" ht="17.25">
      <c r="A908" s="21" t="s">
        <v>95</v>
      </c>
      <c r="B908" s="19"/>
      <c r="C908" s="19"/>
      <c r="D908" s="19"/>
      <c r="E908" s="19"/>
      <c r="F908" s="53"/>
      <c r="G908" s="19"/>
      <c r="H908" s="1"/>
      <c r="I908" s="1"/>
      <c r="J908" s="1"/>
      <c r="K908" s="1"/>
      <c r="L908" s="1"/>
      <c r="M908" s="1"/>
    </row>
    <row r="909" spans="1:13" s="7" customFormat="1" ht="17.25">
      <c r="A909" s="22" t="s">
        <v>181</v>
      </c>
      <c r="B909" s="66">
        <v>0</v>
      </c>
      <c r="C909" s="66">
        <v>0</v>
      </c>
      <c r="D909" s="66">
        <v>70000</v>
      </c>
      <c r="E909" s="66">
        <v>80000</v>
      </c>
      <c r="F909" s="95">
        <v>-1</v>
      </c>
      <c r="G909" s="66">
        <v>0</v>
      </c>
      <c r="H909" s="1"/>
      <c r="I909" s="1"/>
      <c r="J909" s="1"/>
      <c r="K909" s="1"/>
      <c r="L909" s="1"/>
      <c r="M909" s="1"/>
    </row>
    <row r="910" spans="1:13" s="7" customFormat="1" ht="17.25">
      <c r="A910" s="22" t="s">
        <v>97</v>
      </c>
      <c r="B910" s="83">
        <v>120000</v>
      </c>
      <c r="C910" s="83">
        <v>120000</v>
      </c>
      <c r="D910" s="83">
        <v>50000</v>
      </c>
      <c r="E910" s="83">
        <v>0</v>
      </c>
      <c r="F910" s="96"/>
      <c r="G910" s="83">
        <v>0</v>
      </c>
      <c r="H910" s="1"/>
      <c r="I910" s="1"/>
      <c r="J910" s="1"/>
      <c r="K910" s="1"/>
      <c r="L910" s="1"/>
      <c r="M910" s="1"/>
    </row>
    <row r="911" spans="1:13" s="7" customFormat="1" ht="17.25">
      <c r="A911" s="15" t="s">
        <v>98</v>
      </c>
      <c r="B911" s="93">
        <v>120000</v>
      </c>
      <c r="C911" s="93">
        <v>120000</v>
      </c>
      <c r="D911" s="93">
        <v>120000</v>
      </c>
      <c r="E911" s="93">
        <v>80000</v>
      </c>
      <c r="F911" s="73"/>
      <c r="G911" s="93">
        <v>0</v>
      </c>
      <c r="H911" s="1"/>
      <c r="I911" s="1"/>
      <c r="J911" s="1"/>
      <c r="K911" s="1"/>
      <c r="L911" s="1"/>
      <c r="M911" s="1"/>
    </row>
    <row r="912" spans="1:13" s="7" customFormat="1" ht="17.25">
      <c r="A912" s="16" t="s">
        <v>99</v>
      </c>
      <c r="B912" s="92">
        <v>120000</v>
      </c>
      <c r="C912" s="92">
        <v>120000</v>
      </c>
      <c r="D912" s="92">
        <v>120000</v>
      </c>
      <c r="E912" s="92">
        <v>80000</v>
      </c>
      <c r="F912" s="88"/>
      <c r="G912" s="92">
        <v>0</v>
      </c>
      <c r="H912" s="1"/>
      <c r="I912" s="1"/>
      <c r="J912" s="1"/>
      <c r="K912" s="1"/>
      <c r="L912" s="1"/>
      <c r="M912" s="1"/>
    </row>
    <row r="913" spans="1:12" s="7" customFormat="1" ht="17.25">
      <c r="A913" s="15" t="s">
        <v>247</v>
      </c>
      <c r="B913" s="92">
        <f>B897+B906+B912</f>
        <v>363570</v>
      </c>
      <c r="C913" s="92">
        <f>C897+C906+C912</f>
        <v>267000</v>
      </c>
      <c r="D913" s="92">
        <f>D897+D906+D912</f>
        <v>305830</v>
      </c>
      <c r="E913" s="92">
        <f>E897+E906+E912</f>
        <v>220720</v>
      </c>
      <c r="F913" s="88"/>
      <c r="G913" s="92">
        <f>G897</f>
        <v>160000</v>
      </c>
      <c r="H913" s="1"/>
      <c r="I913" s="1"/>
      <c r="J913" s="1"/>
      <c r="K913" s="1"/>
      <c r="L913" s="1"/>
    </row>
    <row r="914" spans="1:12" s="7" customFormat="1" ht="17.25">
      <c r="A914" s="21" t="s">
        <v>248</v>
      </c>
      <c r="B914" s="56"/>
      <c r="C914" s="56"/>
      <c r="D914" s="56"/>
      <c r="E914" s="56"/>
      <c r="F914" s="68"/>
      <c r="G914" s="56"/>
      <c r="H914" s="1"/>
      <c r="I914" s="1"/>
      <c r="J914" s="1"/>
      <c r="K914" s="1"/>
      <c r="L914" s="1"/>
    </row>
    <row r="915" spans="1:12" s="7" customFormat="1" ht="17.25">
      <c r="A915" s="21" t="s">
        <v>33</v>
      </c>
      <c r="B915" s="57"/>
      <c r="C915" s="57"/>
      <c r="D915" s="57"/>
      <c r="E915" s="57"/>
      <c r="F915" s="70"/>
      <c r="G915" s="57"/>
      <c r="H915" s="1"/>
      <c r="I915" s="1"/>
      <c r="J915" s="1"/>
      <c r="K915" s="1"/>
      <c r="L915" s="1"/>
    </row>
    <row r="916" spans="1:12" s="7" customFormat="1" ht="17.25">
      <c r="A916" s="30" t="s">
        <v>41</v>
      </c>
      <c r="B916" s="65"/>
      <c r="C916" s="65"/>
      <c r="D916" s="65"/>
      <c r="E916" s="65"/>
      <c r="F916" s="68"/>
      <c r="G916" s="65"/>
      <c r="H916" s="1"/>
      <c r="I916" s="1"/>
      <c r="J916" s="1"/>
      <c r="K916" s="1"/>
      <c r="L916" s="1"/>
    </row>
    <row r="917" spans="1:12" s="7" customFormat="1" ht="17.25">
      <c r="A917" s="27" t="s">
        <v>44</v>
      </c>
      <c r="B917" s="200"/>
      <c r="C917" s="200"/>
      <c r="D917" s="200"/>
      <c r="E917" s="200"/>
      <c r="F917" s="200"/>
      <c r="G917" s="200"/>
      <c r="H917" s="1"/>
      <c r="I917" s="1"/>
      <c r="J917" s="1"/>
      <c r="K917" s="1"/>
      <c r="L917" s="1"/>
    </row>
    <row r="918" spans="1:12" s="7" customFormat="1" ht="17.25">
      <c r="A918" s="24" t="s">
        <v>367</v>
      </c>
      <c r="B918" s="202"/>
      <c r="C918" s="202"/>
      <c r="D918" s="202"/>
      <c r="E918" s="202"/>
      <c r="F918" s="202"/>
      <c r="G918" s="202"/>
      <c r="H918" s="1"/>
      <c r="I918" s="1"/>
      <c r="J918" s="1"/>
      <c r="K918" s="1"/>
      <c r="L918" s="1"/>
    </row>
    <row r="919" spans="1:12" s="7" customFormat="1" ht="17.25">
      <c r="A919" s="24" t="s">
        <v>249</v>
      </c>
      <c r="B919" s="65">
        <v>0</v>
      </c>
      <c r="C919" s="65">
        <v>0</v>
      </c>
      <c r="D919" s="65">
        <v>43320</v>
      </c>
      <c r="E919" s="65">
        <v>0</v>
      </c>
      <c r="F919" s="59"/>
      <c r="G919" s="65">
        <v>0</v>
      </c>
      <c r="H919" s="1"/>
      <c r="I919" s="1"/>
      <c r="J919" s="1"/>
      <c r="K919" s="1"/>
      <c r="L919" s="1"/>
    </row>
    <row r="920" spans="1:12" s="7" customFormat="1" ht="17.25">
      <c r="A920" s="15" t="s">
        <v>50</v>
      </c>
      <c r="B920" s="93">
        <v>0</v>
      </c>
      <c r="C920" s="93">
        <v>0</v>
      </c>
      <c r="D920" s="93">
        <v>43320</v>
      </c>
      <c r="E920" s="93">
        <v>0</v>
      </c>
      <c r="F920" s="73"/>
      <c r="G920" s="93">
        <v>0</v>
      </c>
      <c r="H920" s="1"/>
      <c r="I920" s="1"/>
      <c r="J920" s="1"/>
      <c r="K920" s="1"/>
      <c r="L920" s="1"/>
    </row>
    <row r="921" spans="1:12" ht="17.25">
      <c r="A921" s="15" t="s">
        <v>68</v>
      </c>
      <c r="B921" s="92">
        <v>0</v>
      </c>
      <c r="C921" s="92">
        <v>0</v>
      </c>
      <c r="D921" s="92">
        <v>43320</v>
      </c>
      <c r="E921" s="92">
        <v>0</v>
      </c>
      <c r="F921" s="88"/>
      <c r="G921" s="92">
        <v>0</v>
      </c>
      <c r="H921" s="1"/>
      <c r="I921" s="1"/>
      <c r="J921" s="1"/>
      <c r="K921" s="1"/>
      <c r="L921" s="1"/>
    </row>
    <row r="922" spans="1:12" ht="17.25">
      <c r="A922" s="23" t="s">
        <v>94</v>
      </c>
      <c r="B922" s="65"/>
      <c r="C922" s="65"/>
      <c r="D922" s="65"/>
      <c r="E922" s="65"/>
      <c r="F922" s="68"/>
      <c r="G922" s="65"/>
      <c r="H922" s="1"/>
      <c r="I922" s="1"/>
      <c r="J922" s="1"/>
      <c r="K922" s="1"/>
      <c r="L922" s="1"/>
    </row>
    <row r="923" spans="1:12" ht="17.25">
      <c r="A923" s="23" t="s">
        <v>95</v>
      </c>
      <c r="B923" s="66"/>
      <c r="C923" s="66"/>
      <c r="D923" s="66"/>
      <c r="E923" s="66"/>
      <c r="F923" s="69"/>
      <c r="G923" s="66"/>
      <c r="H923" s="1"/>
      <c r="I923" s="1"/>
      <c r="J923" s="1"/>
      <c r="K923" s="1"/>
      <c r="L923" s="1"/>
    </row>
    <row r="924" spans="1:12" ht="17.25">
      <c r="A924" s="24" t="s">
        <v>96</v>
      </c>
      <c r="B924" s="83">
        <v>50000</v>
      </c>
      <c r="C924" s="83">
        <v>0</v>
      </c>
      <c r="D924" s="83">
        <v>40000</v>
      </c>
      <c r="E924" s="83">
        <v>0</v>
      </c>
      <c r="F924" s="96"/>
      <c r="G924" s="83">
        <v>0</v>
      </c>
      <c r="H924" s="1"/>
      <c r="I924" s="1"/>
      <c r="J924" s="1"/>
      <c r="K924" s="1"/>
      <c r="L924" s="1"/>
    </row>
    <row r="925" spans="1:12" ht="17.25">
      <c r="A925" s="15" t="s">
        <v>98</v>
      </c>
      <c r="B925" s="93">
        <v>50000</v>
      </c>
      <c r="C925" s="93">
        <v>0</v>
      </c>
      <c r="D925" s="93">
        <v>40000</v>
      </c>
      <c r="E925" s="93">
        <v>0</v>
      </c>
      <c r="F925" s="73"/>
      <c r="G925" s="93">
        <v>0</v>
      </c>
      <c r="H925" s="1"/>
      <c r="I925" s="1"/>
      <c r="J925" s="1"/>
      <c r="K925" s="1"/>
      <c r="L925" s="1"/>
    </row>
    <row r="926" spans="1:12" ht="17.25">
      <c r="A926" s="15" t="s">
        <v>99</v>
      </c>
      <c r="B926" s="92">
        <v>50000</v>
      </c>
      <c r="C926" s="92">
        <v>0</v>
      </c>
      <c r="D926" s="92">
        <v>40000</v>
      </c>
      <c r="E926" s="92">
        <v>0</v>
      </c>
      <c r="F926" s="88"/>
      <c r="G926" s="92">
        <v>0</v>
      </c>
      <c r="H926" s="1"/>
      <c r="I926" s="1"/>
      <c r="J926" s="1"/>
      <c r="K926" s="1"/>
      <c r="L926" s="1"/>
    </row>
    <row r="927" spans="1:12" ht="17.25">
      <c r="A927" s="15" t="s">
        <v>250</v>
      </c>
      <c r="B927" s="97">
        <v>50000</v>
      </c>
      <c r="C927" s="97">
        <v>0</v>
      </c>
      <c r="D927" s="97">
        <f>D921+D926</f>
        <v>83320</v>
      </c>
      <c r="E927" s="97">
        <v>0</v>
      </c>
      <c r="F927" s="98"/>
      <c r="G927" s="97">
        <v>0</v>
      </c>
    </row>
    <row r="928" spans="1:12" ht="17.25">
      <c r="A928" s="16" t="s">
        <v>251</v>
      </c>
      <c r="B928" s="93">
        <f>B880+B913+B927</f>
        <v>727706.48</v>
      </c>
      <c r="C928" s="93">
        <f>C880+C913+C927</f>
        <v>267000</v>
      </c>
      <c r="D928" s="93">
        <f>D880+D913+D927</f>
        <v>503290.5</v>
      </c>
      <c r="E928" s="93">
        <f>E913+E880+E853</f>
        <v>504720</v>
      </c>
      <c r="F928" s="73"/>
      <c r="G928" s="93">
        <f>G853+G913+G880</f>
        <v>344000</v>
      </c>
    </row>
    <row r="929" spans="1:13" s="34" customFormat="1" ht="17.25">
      <c r="A929" s="199"/>
      <c r="B929" s="199" t="s">
        <v>3</v>
      </c>
      <c r="C929" s="199"/>
      <c r="D929" s="199"/>
      <c r="E929" s="199" t="s">
        <v>4</v>
      </c>
      <c r="F929" s="199"/>
      <c r="G929" s="199"/>
      <c r="H929" s="33"/>
      <c r="I929" s="33"/>
      <c r="J929" s="33"/>
      <c r="K929" s="33"/>
      <c r="L929" s="33"/>
      <c r="M929" s="33"/>
    </row>
    <row r="930" spans="1:13" s="34" customFormat="1" ht="17.25">
      <c r="A930" s="199"/>
      <c r="B930" s="159" t="s">
        <v>5</v>
      </c>
      <c r="C930" s="159" t="s">
        <v>6</v>
      </c>
      <c r="D930" s="159" t="s">
        <v>7</v>
      </c>
      <c r="E930" s="159" t="s">
        <v>9</v>
      </c>
      <c r="F930" s="159" t="s">
        <v>8</v>
      </c>
      <c r="G930" s="159" t="s">
        <v>417</v>
      </c>
      <c r="H930" s="33"/>
      <c r="I930" s="33"/>
      <c r="J930" s="33"/>
      <c r="K930" s="33"/>
      <c r="L930" s="33"/>
      <c r="M930" s="33"/>
    </row>
    <row r="931" spans="1:13" ht="17.25">
      <c r="A931" s="21" t="s">
        <v>252</v>
      </c>
      <c r="B931" s="66"/>
      <c r="C931" s="66"/>
      <c r="D931" s="66"/>
      <c r="E931" s="66"/>
      <c r="F931" s="66"/>
      <c r="G931" s="66"/>
    </row>
    <row r="932" spans="1:13" ht="17.25">
      <c r="A932" s="21" t="s">
        <v>561</v>
      </c>
      <c r="B932" s="66"/>
      <c r="C932" s="66"/>
      <c r="D932" s="66"/>
      <c r="E932" s="66"/>
      <c r="F932" s="66"/>
      <c r="G932" s="66"/>
    </row>
    <row r="933" spans="1:13" ht="17.25">
      <c r="A933" s="21" t="s">
        <v>33</v>
      </c>
      <c r="B933" s="66"/>
      <c r="C933" s="66"/>
      <c r="D933" s="66"/>
      <c r="E933" s="66"/>
      <c r="F933" s="66"/>
      <c r="G933" s="66"/>
    </row>
    <row r="934" spans="1:13" ht="17.25">
      <c r="A934" s="30" t="s">
        <v>51</v>
      </c>
      <c r="B934" s="66"/>
      <c r="C934" s="66"/>
      <c r="D934" s="66"/>
      <c r="E934" s="66"/>
      <c r="F934" s="66"/>
      <c r="G934" s="66"/>
    </row>
    <row r="935" spans="1:13" ht="17.25">
      <c r="A935" s="22" t="s">
        <v>55</v>
      </c>
      <c r="B935" s="66">
        <v>0</v>
      </c>
      <c r="C935" s="66">
        <v>0</v>
      </c>
      <c r="D935" s="66">
        <v>0</v>
      </c>
      <c r="E935" s="66">
        <v>72500</v>
      </c>
      <c r="F935" s="122">
        <v>-1</v>
      </c>
      <c r="G935" s="66">
        <v>0</v>
      </c>
    </row>
    <row r="936" spans="1:13" ht="17.25">
      <c r="A936" s="15" t="s">
        <v>60</v>
      </c>
      <c r="B936" s="92">
        <v>0</v>
      </c>
      <c r="C936" s="92">
        <v>0</v>
      </c>
      <c r="D936" s="92">
        <v>0</v>
      </c>
      <c r="E936" s="92">
        <v>72500</v>
      </c>
      <c r="F936" s="92"/>
      <c r="G936" s="92">
        <v>0</v>
      </c>
    </row>
    <row r="937" spans="1:13" ht="17.25">
      <c r="A937" s="28" t="s">
        <v>68</v>
      </c>
      <c r="B937" s="92">
        <v>0</v>
      </c>
      <c r="C937" s="92">
        <v>0</v>
      </c>
      <c r="D937" s="92">
        <v>0</v>
      </c>
      <c r="E937" s="92">
        <v>72500</v>
      </c>
      <c r="F937" s="92"/>
      <c r="G937" s="92">
        <v>0</v>
      </c>
    </row>
    <row r="938" spans="1:13" ht="17.25">
      <c r="A938" s="28" t="s">
        <v>562</v>
      </c>
      <c r="B938" s="92">
        <v>0</v>
      </c>
      <c r="C938" s="92">
        <v>0</v>
      </c>
      <c r="D938" s="92">
        <v>0</v>
      </c>
      <c r="E938" s="92">
        <v>72500</v>
      </c>
      <c r="F938" s="92"/>
      <c r="G938" s="92">
        <v>0</v>
      </c>
    </row>
    <row r="939" spans="1:13" ht="17.25">
      <c r="A939" s="21" t="s">
        <v>253</v>
      </c>
      <c r="B939" s="65"/>
      <c r="C939" s="65"/>
      <c r="D939" s="65"/>
      <c r="E939" s="65"/>
      <c r="F939" s="68"/>
      <c r="G939" s="65"/>
    </row>
    <row r="940" spans="1:13" ht="17.25">
      <c r="A940" s="21" t="s">
        <v>33</v>
      </c>
      <c r="B940" s="66"/>
      <c r="C940" s="66"/>
      <c r="D940" s="66"/>
      <c r="E940" s="66"/>
      <c r="F940" s="69"/>
      <c r="G940" s="66"/>
    </row>
    <row r="941" spans="1:13" s="7" customFormat="1" ht="17.25">
      <c r="A941" s="22" t="s">
        <v>42</v>
      </c>
      <c r="B941" s="65">
        <v>0</v>
      </c>
      <c r="C941" s="65">
        <v>0</v>
      </c>
      <c r="D941" s="65">
        <v>51530</v>
      </c>
      <c r="E941" s="65">
        <v>0</v>
      </c>
      <c r="F941" s="59"/>
      <c r="G941" s="65">
        <v>0</v>
      </c>
      <c r="H941" s="1"/>
      <c r="I941" s="1"/>
      <c r="J941" s="1"/>
      <c r="K941" s="1"/>
      <c r="L941" s="1"/>
      <c r="M941" s="1"/>
    </row>
    <row r="942" spans="1:13" s="7" customFormat="1" ht="17.25">
      <c r="A942" s="15" t="s">
        <v>50</v>
      </c>
      <c r="B942" s="93">
        <v>0</v>
      </c>
      <c r="C942" s="93">
        <v>0</v>
      </c>
      <c r="D942" s="93">
        <v>51530</v>
      </c>
      <c r="E942" s="93">
        <v>0</v>
      </c>
      <c r="F942" s="73"/>
      <c r="G942" s="93">
        <v>0</v>
      </c>
      <c r="H942" s="1"/>
      <c r="I942" s="1"/>
      <c r="J942" s="1"/>
      <c r="K942" s="1"/>
      <c r="L942" s="1"/>
      <c r="M942" s="1"/>
    </row>
    <row r="943" spans="1:13" s="7" customFormat="1" ht="17.25">
      <c r="A943" s="30" t="s">
        <v>51</v>
      </c>
      <c r="B943" s="66"/>
      <c r="C943" s="66"/>
      <c r="D943" s="66"/>
      <c r="E943" s="66"/>
      <c r="F943" s="69"/>
      <c r="G943" s="66"/>
      <c r="H943" s="1"/>
      <c r="I943" s="1"/>
      <c r="J943" s="1"/>
      <c r="K943" s="1"/>
      <c r="L943" s="1"/>
      <c r="M943" s="1"/>
    </row>
    <row r="944" spans="1:13" s="7" customFormat="1" ht="17.25">
      <c r="A944" s="22" t="s">
        <v>55</v>
      </c>
      <c r="B944" s="66">
        <v>12570</v>
      </c>
      <c r="C944" s="66">
        <v>90000</v>
      </c>
      <c r="D944" s="66">
        <v>55200</v>
      </c>
      <c r="E944" s="66">
        <v>80000</v>
      </c>
      <c r="F944" s="74">
        <v>-1</v>
      </c>
      <c r="G944" s="66">
        <v>0</v>
      </c>
      <c r="H944" s="1"/>
      <c r="I944" s="1"/>
      <c r="J944" s="1"/>
      <c r="K944" s="1"/>
      <c r="L944" s="1"/>
      <c r="M944" s="1"/>
    </row>
    <row r="945" spans="1:13" s="7" customFormat="1" ht="17.25">
      <c r="A945" s="15" t="s">
        <v>60</v>
      </c>
      <c r="B945" s="93">
        <v>12570</v>
      </c>
      <c r="C945" s="93">
        <v>90000</v>
      </c>
      <c r="D945" s="93">
        <v>55200</v>
      </c>
      <c r="E945" s="93">
        <v>80000</v>
      </c>
      <c r="F945" s="73"/>
      <c r="G945" s="93">
        <v>0</v>
      </c>
      <c r="H945" s="1"/>
      <c r="I945" s="1"/>
      <c r="J945" s="1"/>
      <c r="K945" s="1"/>
      <c r="L945" s="1"/>
      <c r="M945" s="1"/>
    </row>
    <row r="946" spans="1:13" s="7" customFormat="1" ht="17.25">
      <c r="A946" s="28" t="s">
        <v>68</v>
      </c>
      <c r="B946" s="92">
        <v>12570</v>
      </c>
      <c r="C946" s="92">
        <v>90000</v>
      </c>
      <c r="D946" s="92">
        <f>D942+D945</f>
        <v>106730</v>
      </c>
      <c r="E946" s="92">
        <v>80000</v>
      </c>
      <c r="F946" s="88"/>
      <c r="G946" s="92">
        <v>0</v>
      </c>
      <c r="H946" s="1"/>
      <c r="I946" s="1"/>
      <c r="J946" s="1"/>
      <c r="K946" s="1"/>
      <c r="L946" s="1"/>
      <c r="M946" s="1"/>
    </row>
    <row r="947" spans="1:13" s="7" customFormat="1" ht="17.25">
      <c r="A947" s="21" t="s">
        <v>69</v>
      </c>
      <c r="B947" s="65"/>
      <c r="C947" s="65"/>
      <c r="D947" s="65"/>
      <c r="E947" s="65"/>
      <c r="F947" s="68"/>
      <c r="G947" s="65"/>
      <c r="H947" s="1"/>
      <c r="I947" s="1"/>
      <c r="J947" s="1"/>
      <c r="K947" s="1"/>
      <c r="L947" s="1"/>
      <c r="M947" s="1"/>
    </row>
    <row r="948" spans="1:13" s="7" customFormat="1" ht="17.25">
      <c r="A948" s="22" t="s">
        <v>254</v>
      </c>
      <c r="B948" s="66"/>
      <c r="C948" s="66"/>
      <c r="D948" s="66"/>
      <c r="E948" s="66"/>
      <c r="F948" s="69"/>
      <c r="G948" s="66"/>
      <c r="H948" s="1"/>
      <c r="I948" s="1"/>
      <c r="J948" s="1"/>
      <c r="K948" s="1"/>
      <c r="L948" s="1"/>
      <c r="M948" s="1"/>
    </row>
    <row r="949" spans="1:13" s="7" customFormat="1" ht="17.25">
      <c r="A949" s="22" t="s">
        <v>255</v>
      </c>
      <c r="B949" s="83"/>
      <c r="C949" s="83"/>
      <c r="D949" s="83"/>
      <c r="E949" s="83"/>
      <c r="F949" s="76"/>
      <c r="G949" s="83"/>
      <c r="H949" s="1"/>
      <c r="I949" s="1"/>
      <c r="J949" s="1"/>
      <c r="K949" s="1"/>
      <c r="L949" s="1"/>
      <c r="M949" s="1"/>
    </row>
    <row r="950" spans="1:13" s="7" customFormat="1" ht="17.25">
      <c r="A950" s="24" t="s">
        <v>256</v>
      </c>
      <c r="B950" s="65">
        <v>0</v>
      </c>
      <c r="C950" s="65">
        <v>0</v>
      </c>
      <c r="D950" s="65">
        <v>15000</v>
      </c>
      <c r="E950" s="65">
        <v>0</v>
      </c>
      <c r="F950" s="59"/>
      <c r="G950" s="65">
        <v>0</v>
      </c>
      <c r="H950" s="1"/>
      <c r="I950" s="1"/>
      <c r="J950" s="1"/>
      <c r="K950" s="1"/>
      <c r="L950" s="1"/>
      <c r="M950" s="1"/>
    </row>
    <row r="951" spans="1:13" s="7" customFormat="1" ht="17.25">
      <c r="A951" s="22" t="s">
        <v>257</v>
      </c>
      <c r="B951" s="66">
        <v>0</v>
      </c>
      <c r="C951" s="66">
        <v>0</v>
      </c>
      <c r="D951" s="66">
        <v>15000</v>
      </c>
      <c r="E951" s="66">
        <v>0</v>
      </c>
      <c r="F951" s="74"/>
      <c r="G951" s="66">
        <v>0</v>
      </c>
      <c r="H951" s="1"/>
      <c r="I951" s="1"/>
      <c r="J951" s="1"/>
      <c r="K951" s="1"/>
      <c r="L951" s="1"/>
      <c r="M951" s="1"/>
    </row>
    <row r="952" spans="1:13" s="7" customFormat="1" ht="17.25">
      <c r="A952" s="24" t="s">
        <v>370</v>
      </c>
      <c r="B952" s="66">
        <v>0</v>
      </c>
      <c r="C952" s="66">
        <v>0</v>
      </c>
      <c r="D952" s="66">
        <v>1500</v>
      </c>
      <c r="E952" s="66">
        <v>0</v>
      </c>
      <c r="F952" s="74"/>
      <c r="G952" s="66">
        <v>0</v>
      </c>
      <c r="H952" s="1"/>
      <c r="I952" s="1"/>
      <c r="J952" s="1"/>
      <c r="K952" s="1"/>
      <c r="L952" s="1"/>
      <c r="M952" s="1"/>
    </row>
    <row r="953" spans="1:13" s="7" customFormat="1" ht="17.25">
      <c r="A953" s="24" t="s">
        <v>258</v>
      </c>
      <c r="B953" s="66">
        <v>0</v>
      </c>
      <c r="C953" s="66">
        <v>0</v>
      </c>
      <c r="D953" s="66">
        <v>0</v>
      </c>
      <c r="E953" s="66">
        <v>0</v>
      </c>
      <c r="F953" s="74"/>
      <c r="G953" s="66">
        <v>0</v>
      </c>
      <c r="H953" s="1"/>
      <c r="I953" s="1"/>
      <c r="J953" s="1"/>
      <c r="K953" s="1"/>
      <c r="L953" s="1"/>
    </row>
    <row r="954" spans="1:13" s="7" customFormat="1" ht="16.5" customHeight="1">
      <c r="A954" s="16" t="s">
        <v>82</v>
      </c>
      <c r="B954" s="56">
        <v>0</v>
      </c>
      <c r="C954" s="56">
        <v>0</v>
      </c>
      <c r="D954" s="56">
        <f>D950+D951+D952+D953</f>
        <v>31500</v>
      </c>
      <c r="E954" s="56">
        <v>0</v>
      </c>
      <c r="F954" s="68"/>
      <c r="G954" s="56">
        <v>0</v>
      </c>
      <c r="H954" s="1"/>
      <c r="I954" s="1"/>
      <c r="J954" s="1"/>
      <c r="K954" s="1"/>
      <c r="L954" s="1"/>
    </row>
    <row r="955" spans="1:13" s="7" customFormat="1" ht="15.75" customHeight="1">
      <c r="A955" s="21" t="s">
        <v>152</v>
      </c>
      <c r="B955" s="57"/>
      <c r="C955" s="57"/>
      <c r="D955" s="57"/>
      <c r="E955" s="57"/>
      <c r="F955" s="70"/>
      <c r="G955" s="57"/>
      <c r="H955" s="1"/>
      <c r="I955" s="1"/>
      <c r="J955" s="1"/>
      <c r="K955" s="1"/>
      <c r="L955" s="1"/>
    </row>
    <row r="956" spans="1:13" s="7" customFormat="1" ht="17.25">
      <c r="A956" s="27" t="s">
        <v>156</v>
      </c>
      <c r="B956" s="65"/>
      <c r="C956" s="65"/>
      <c r="D956" s="65"/>
      <c r="E956" s="65"/>
      <c r="F956" s="68"/>
      <c r="G956" s="65"/>
      <c r="H956" s="1"/>
      <c r="I956" s="1"/>
      <c r="J956" s="1"/>
      <c r="K956" s="1"/>
      <c r="L956" s="1"/>
    </row>
    <row r="957" spans="1:13" s="7" customFormat="1" ht="17.25">
      <c r="A957" s="27" t="s">
        <v>368</v>
      </c>
      <c r="B957" s="200">
        <v>343500</v>
      </c>
      <c r="C957" s="200">
        <v>0</v>
      </c>
      <c r="D957" s="200">
        <v>300000</v>
      </c>
      <c r="E957" s="200">
        <v>0</v>
      </c>
      <c r="F957" s="203"/>
      <c r="G957" s="200">
        <v>0</v>
      </c>
      <c r="H957" s="1"/>
      <c r="I957" s="1"/>
      <c r="J957" s="1"/>
      <c r="K957" s="1"/>
      <c r="L957" s="1"/>
    </row>
    <row r="958" spans="1:13" s="7" customFormat="1" ht="17.25">
      <c r="A958" s="26" t="s">
        <v>369</v>
      </c>
      <c r="B958" s="201"/>
      <c r="C958" s="201"/>
      <c r="D958" s="201"/>
      <c r="E958" s="201"/>
      <c r="F958" s="201"/>
      <c r="G958" s="201"/>
      <c r="H958" s="1"/>
      <c r="I958" s="1"/>
      <c r="J958" s="1"/>
      <c r="K958" s="1"/>
      <c r="L958" s="1"/>
    </row>
    <row r="959" spans="1:13" s="7" customFormat="1" ht="17.25">
      <c r="A959" s="49"/>
      <c r="B959" s="103"/>
      <c r="C959" s="103"/>
      <c r="D959" s="103"/>
      <c r="E959" s="103"/>
      <c r="F959" s="103"/>
      <c r="G959" s="103"/>
      <c r="H959" s="1"/>
      <c r="I959" s="1"/>
      <c r="J959" s="1"/>
      <c r="K959" s="1"/>
      <c r="L959" s="1"/>
    </row>
    <row r="960" spans="1:13" s="34" customFormat="1" ht="17.25">
      <c r="A960" s="199"/>
      <c r="B960" s="199" t="s">
        <v>3</v>
      </c>
      <c r="C960" s="199"/>
      <c r="D960" s="199"/>
      <c r="E960" s="199" t="s">
        <v>4</v>
      </c>
      <c r="F960" s="199"/>
      <c r="G960" s="199"/>
      <c r="H960" s="33"/>
      <c r="I960" s="33"/>
      <c r="J960" s="33"/>
      <c r="K960" s="33"/>
      <c r="L960" s="33"/>
      <c r="M960" s="33"/>
    </row>
    <row r="961" spans="1:13" s="34" customFormat="1" ht="17.25">
      <c r="A961" s="199"/>
      <c r="B961" s="159" t="s">
        <v>5</v>
      </c>
      <c r="C961" s="159" t="s">
        <v>6</v>
      </c>
      <c r="D961" s="159" t="s">
        <v>7</v>
      </c>
      <c r="E961" s="159" t="s">
        <v>9</v>
      </c>
      <c r="F961" s="159" t="s">
        <v>8</v>
      </c>
      <c r="G961" s="159" t="s">
        <v>417</v>
      </c>
      <c r="H961" s="33"/>
      <c r="I961" s="33"/>
      <c r="J961" s="33"/>
      <c r="K961" s="33"/>
      <c r="L961" s="33"/>
      <c r="M961" s="33"/>
    </row>
    <row r="962" spans="1:13" s="7" customFormat="1" ht="17.25">
      <c r="A962" s="26" t="s">
        <v>371</v>
      </c>
      <c r="B962" s="201">
        <v>775700</v>
      </c>
      <c r="C962" s="201">
        <v>0</v>
      </c>
      <c r="D962" s="201">
        <v>147000</v>
      </c>
      <c r="E962" s="201">
        <v>0</v>
      </c>
      <c r="F962" s="204"/>
      <c r="G962" s="201">
        <v>0</v>
      </c>
      <c r="H962" s="1"/>
      <c r="I962" s="1"/>
      <c r="J962" s="1"/>
      <c r="K962" s="1"/>
      <c r="L962" s="1"/>
    </row>
    <row r="963" spans="1:13" s="7" customFormat="1" ht="17.25">
      <c r="A963" s="26" t="s">
        <v>380</v>
      </c>
      <c r="B963" s="202"/>
      <c r="C963" s="202"/>
      <c r="D963" s="202"/>
      <c r="E963" s="202"/>
      <c r="F963" s="202"/>
      <c r="G963" s="202"/>
      <c r="H963" s="1"/>
      <c r="I963" s="1"/>
      <c r="J963" s="1"/>
      <c r="K963" s="1"/>
      <c r="L963" s="1"/>
    </row>
    <row r="964" spans="1:13" s="7" customFormat="1" ht="17.25">
      <c r="A964" s="27" t="s">
        <v>371</v>
      </c>
      <c r="B964" s="200">
        <v>872000</v>
      </c>
      <c r="C964" s="200">
        <v>0</v>
      </c>
      <c r="D964" s="200">
        <v>420000</v>
      </c>
      <c r="E964" s="200">
        <v>0</v>
      </c>
      <c r="F964" s="203"/>
      <c r="G964" s="200">
        <v>0</v>
      </c>
      <c r="H964" s="1"/>
      <c r="I964" s="1"/>
      <c r="J964" s="1"/>
      <c r="K964" s="1"/>
      <c r="L964" s="1"/>
    </row>
    <row r="965" spans="1:13" s="7" customFormat="1" ht="17.25">
      <c r="A965" s="26" t="s">
        <v>381</v>
      </c>
      <c r="B965" s="202"/>
      <c r="C965" s="202"/>
      <c r="D965" s="202"/>
      <c r="E965" s="202"/>
      <c r="F965" s="202"/>
      <c r="G965" s="202"/>
      <c r="H965" s="1"/>
      <c r="I965" s="1"/>
      <c r="J965" s="1"/>
      <c r="K965" s="1"/>
      <c r="L965" s="1"/>
    </row>
    <row r="966" spans="1:13" ht="17.25">
      <c r="A966" s="27" t="s">
        <v>372</v>
      </c>
      <c r="B966" s="200">
        <v>0</v>
      </c>
      <c r="C966" s="200">
        <v>0</v>
      </c>
      <c r="D966" s="200">
        <f>439000-25000</f>
        <v>414000</v>
      </c>
      <c r="E966" s="200">
        <v>0</v>
      </c>
      <c r="F966" s="203"/>
      <c r="G966" s="200">
        <v>0</v>
      </c>
      <c r="H966" s="1"/>
      <c r="I966" s="1"/>
      <c r="J966" s="1"/>
      <c r="K966" s="1"/>
      <c r="L966" s="1"/>
    </row>
    <row r="967" spans="1:13" ht="14.25" customHeight="1">
      <c r="A967" s="26" t="s">
        <v>373</v>
      </c>
      <c r="B967" s="202"/>
      <c r="C967" s="202"/>
      <c r="D967" s="202"/>
      <c r="E967" s="202"/>
      <c r="F967" s="202"/>
      <c r="G967" s="202"/>
      <c r="H967" s="1"/>
      <c r="I967" s="1"/>
      <c r="J967" s="1"/>
      <c r="K967" s="1"/>
      <c r="L967" s="1"/>
    </row>
    <row r="968" spans="1:13" ht="17.25">
      <c r="A968" s="27" t="s">
        <v>374</v>
      </c>
      <c r="B968" s="200">
        <v>0</v>
      </c>
      <c r="C968" s="200">
        <v>0</v>
      </c>
      <c r="D968" s="200">
        <v>130000</v>
      </c>
      <c r="E968" s="200">
        <v>0</v>
      </c>
      <c r="F968" s="203"/>
      <c r="G968" s="200">
        <v>0</v>
      </c>
      <c r="H968" s="1"/>
      <c r="I968" s="1"/>
      <c r="J968" s="1"/>
      <c r="K968" s="1"/>
      <c r="L968" s="1"/>
    </row>
    <row r="969" spans="1:13" ht="17.25">
      <c r="A969" s="26" t="s">
        <v>382</v>
      </c>
      <c r="B969" s="202"/>
      <c r="C969" s="202"/>
      <c r="D969" s="202"/>
      <c r="E969" s="202"/>
      <c r="F969" s="202"/>
      <c r="G969" s="202"/>
      <c r="H969" s="1"/>
      <c r="I969" s="1"/>
      <c r="J969" s="1"/>
      <c r="K969" s="1"/>
      <c r="L969" s="1"/>
    </row>
    <row r="970" spans="1:13" ht="17.25">
      <c r="A970" s="27" t="s">
        <v>375</v>
      </c>
      <c r="B970" s="200">
        <v>0</v>
      </c>
      <c r="C970" s="200">
        <v>0</v>
      </c>
      <c r="D970" s="200">
        <v>98000</v>
      </c>
      <c r="E970" s="200">
        <v>0</v>
      </c>
      <c r="F970" s="203"/>
      <c r="G970" s="200">
        <v>0</v>
      </c>
      <c r="H970" s="1"/>
      <c r="I970" s="1"/>
      <c r="J970" s="1"/>
      <c r="K970" s="1"/>
      <c r="L970" s="1"/>
    </row>
    <row r="971" spans="1:13" ht="17.25">
      <c r="A971" s="24" t="s">
        <v>383</v>
      </c>
      <c r="B971" s="202"/>
      <c r="C971" s="202"/>
      <c r="D971" s="202"/>
      <c r="E971" s="202"/>
      <c r="F971" s="202"/>
      <c r="G971" s="202"/>
      <c r="H971" s="1"/>
      <c r="I971" s="1"/>
      <c r="J971" s="1"/>
      <c r="K971" s="1"/>
      <c r="L971" s="1"/>
    </row>
    <row r="972" spans="1:13" ht="17.25">
      <c r="A972" s="26" t="s">
        <v>259</v>
      </c>
      <c r="B972" s="65">
        <v>0</v>
      </c>
      <c r="C972" s="65">
        <v>0</v>
      </c>
      <c r="D972" s="65">
        <v>457000</v>
      </c>
      <c r="E972" s="65">
        <v>0</v>
      </c>
      <c r="F972" s="59"/>
      <c r="G972" s="65">
        <v>0</v>
      </c>
      <c r="H972" s="1"/>
      <c r="I972" s="1"/>
      <c r="J972" s="1"/>
      <c r="K972" s="1"/>
      <c r="L972" s="1"/>
    </row>
    <row r="973" spans="1:13" ht="17.25">
      <c r="A973" s="27" t="s">
        <v>376</v>
      </c>
      <c r="B973" s="200">
        <v>0</v>
      </c>
      <c r="C973" s="200">
        <v>0</v>
      </c>
      <c r="D973" s="200">
        <v>0</v>
      </c>
      <c r="E973" s="200">
        <v>0</v>
      </c>
      <c r="F973" s="203"/>
      <c r="G973" s="200">
        <v>0</v>
      </c>
      <c r="H973" s="1"/>
      <c r="I973" s="1"/>
      <c r="J973" s="1"/>
      <c r="K973" s="1"/>
      <c r="L973" s="1"/>
    </row>
    <row r="974" spans="1:13" ht="17.25">
      <c r="A974" s="26" t="s">
        <v>377</v>
      </c>
      <c r="B974" s="202"/>
      <c r="C974" s="202"/>
      <c r="D974" s="202"/>
      <c r="E974" s="202"/>
      <c r="F974" s="202"/>
      <c r="G974" s="202"/>
      <c r="H974" s="1"/>
      <c r="I974" s="1"/>
      <c r="J974" s="1"/>
      <c r="K974" s="1"/>
      <c r="L974" s="1"/>
    </row>
    <row r="975" spans="1:13" ht="17.25">
      <c r="A975" s="27" t="s">
        <v>378</v>
      </c>
      <c r="B975" s="200">
        <v>0</v>
      </c>
      <c r="C975" s="200">
        <v>0</v>
      </c>
      <c r="D975" s="200">
        <v>0</v>
      </c>
      <c r="E975" s="200">
        <v>1040000</v>
      </c>
      <c r="F975" s="203">
        <v>-1</v>
      </c>
      <c r="G975" s="200">
        <v>0</v>
      </c>
    </row>
    <row r="976" spans="1:13" ht="17.25">
      <c r="A976" s="26" t="s">
        <v>379</v>
      </c>
      <c r="B976" s="202"/>
      <c r="C976" s="202"/>
      <c r="D976" s="202"/>
      <c r="E976" s="202"/>
      <c r="F976" s="202"/>
      <c r="G976" s="202"/>
    </row>
    <row r="977" spans="1:13" ht="17.25">
      <c r="A977" s="27" t="s">
        <v>384</v>
      </c>
      <c r="B977" s="200">
        <v>1040000</v>
      </c>
      <c r="C977" s="200">
        <v>0</v>
      </c>
      <c r="D977" s="200">
        <v>0</v>
      </c>
      <c r="E977" s="200">
        <v>50000</v>
      </c>
      <c r="F977" s="203">
        <v>-1</v>
      </c>
      <c r="G977" s="200">
        <v>0</v>
      </c>
    </row>
    <row r="978" spans="1:13" ht="17.25">
      <c r="A978" s="26" t="s">
        <v>329</v>
      </c>
      <c r="B978" s="202"/>
      <c r="C978" s="202"/>
      <c r="D978" s="202"/>
      <c r="E978" s="202"/>
      <c r="F978" s="202"/>
      <c r="G978" s="202"/>
    </row>
    <row r="979" spans="1:13" ht="17.25">
      <c r="A979" s="27" t="s">
        <v>385</v>
      </c>
      <c r="B979" s="200">
        <v>569803.54</v>
      </c>
      <c r="C979" s="200">
        <v>538000</v>
      </c>
      <c r="D979" s="200">
        <v>0</v>
      </c>
      <c r="E979" s="200">
        <v>300000</v>
      </c>
      <c r="F979" s="203">
        <v>-1</v>
      </c>
      <c r="G979" s="200">
        <v>0</v>
      </c>
    </row>
    <row r="980" spans="1:13" ht="17.25">
      <c r="A980" s="26" t="s">
        <v>386</v>
      </c>
      <c r="B980" s="202"/>
      <c r="C980" s="202"/>
      <c r="D980" s="202"/>
      <c r="E980" s="202"/>
      <c r="F980" s="202"/>
      <c r="G980" s="202"/>
    </row>
    <row r="981" spans="1:13" ht="17.25">
      <c r="A981" s="27" t="s">
        <v>387</v>
      </c>
      <c r="B981" s="200">
        <f>58000+39000+665196.46</f>
        <v>762196.46</v>
      </c>
      <c r="C981" s="200">
        <v>0</v>
      </c>
      <c r="D981" s="200">
        <v>31000</v>
      </c>
      <c r="E981" s="200">
        <v>0</v>
      </c>
      <c r="F981" s="203"/>
      <c r="G981" s="200">
        <v>0</v>
      </c>
    </row>
    <row r="982" spans="1:13" ht="17.25">
      <c r="A982" s="24" t="s">
        <v>388</v>
      </c>
      <c r="B982" s="202"/>
      <c r="C982" s="202"/>
      <c r="D982" s="202"/>
      <c r="E982" s="202"/>
      <c r="F982" s="202"/>
      <c r="G982" s="202"/>
    </row>
    <row r="983" spans="1:13" ht="17.25">
      <c r="A983" s="27" t="s">
        <v>559</v>
      </c>
      <c r="B983" s="200">
        <v>0</v>
      </c>
      <c r="C983" s="200">
        <v>0</v>
      </c>
      <c r="D983" s="200">
        <v>0</v>
      </c>
      <c r="E983" s="200">
        <v>550000</v>
      </c>
      <c r="F983" s="203">
        <v>-1</v>
      </c>
      <c r="G983" s="200">
        <v>0</v>
      </c>
    </row>
    <row r="984" spans="1:13" ht="17.25">
      <c r="A984" s="24" t="s">
        <v>560</v>
      </c>
      <c r="B984" s="202"/>
      <c r="C984" s="202"/>
      <c r="D984" s="202"/>
      <c r="E984" s="202"/>
      <c r="F984" s="202"/>
      <c r="G984" s="202"/>
    </row>
    <row r="985" spans="1:13" ht="17.25">
      <c r="A985" s="15" t="s">
        <v>160</v>
      </c>
      <c r="B985" s="92">
        <f>SUM(B962:B982)</f>
        <v>4019700</v>
      </c>
      <c r="C985" s="92">
        <v>538000</v>
      </c>
      <c r="D985" s="92">
        <f>D957+D958+D962+D963+D964+D965+D966+D967+D968+D968+D969+D970+D971+D972+D981+D982</f>
        <v>2127000</v>
      </c>
      <c r="E985" s="92">
        <f>E975+E976+E977+E978+E979+E980+E981+E982+E983+E984</f>
        <v>1940000</v>
      </c>
      <c r="F985" s="88"/>
      <c r="G985" s="92">
        <v>0</v>
      </c>
    </row>
    <row r="986" spans="1:13" ht="17.25">
      <c r="A986" s="32" t="s">
        <v>88</v>
      </c>
      <c r="B986" s="102">
        <f>B954+B985</f>
        <v>4019700</v>
      </c>
      <c r="C986" s="102">
        <v>538000</v>
      </c>
      <c r="D986" s="102">
        <f>D954+D985</f>
        <v>2158500</v>
      </c>
      <c r="E986" s="102">
        <f>E985</f>
        <v>1940000</v>
      </c>
      <c r="F986" s="101"/>
      <c r="G986" s="102">
        <v>0</v>
      </c>
    </row>
    <row r="987" spans="1:13" s="7" customFormat="1" ht="17.25">
      <c r="A987" s="16" t="s">
        <v>260</v>
      </c>
      <c r="B987" s="93">
        <f>B986+B946</f>
        <v>4032270</v>
      </c>
      <c r="C987" s="93">
        <v>628000</v>
      </c>
      <c r="D987" s="93">
        <f>D946+D986</f>
        <v>2265230</v>
      </c>
      <c r="E987" s="93">
        <f>E986+E946</f>
        <v>2020000</v>
      </c>
      <c r="F987" s="93"/>
      <c r="G987" s="93">
        <f>G986+G946</f>
        <v>0</v>
      </c>
      <c r="H987" s="1"/>
      <c r="I987" s="1"/>
      <c r="J987" s="1"/>
      <c r="K987" s="1"/>
      <c r="L987" s="1"/>
      <c r="M987" s="1"/>
    </row>
    <row r="988" spans="1:13" s="7" customFormat="1" ht="17.25">
      <c r="A988" s="32" t="s">
        <v>261</v>
      </c>
      <c r="B988" s="97">
        <f>B946+B986</f>
        <v>4032270</v>
      </c>
      <c r="C988" s="97">
        <v>628000</v>
      </c>
      <c r="D988" s="97">
        <f>D987</f>
        <v>2265230</v>
      </c>
      <c r="E988" s="97">
        <f>E987+E938</f>
        <v>2092500</v>
      </c>
      <c r="F988" s="97"/>
      <c r="G988" s="97">
        <v>0</v>
      </c>
      <c r="H988" s="1"/>
      <c r="I988" s="1"/>
      <c r="J988" s="1"/>
      <c r="K988" s="1"/>
      <c r="L988" s="1"/>
      <c r="M988" s="1"/>
    </row>
    <row r="989" spans="1:13" s="7" customFormat="1" ht="17.25">
      <c r="A989" s="47"/>
      <c r="B989" s="125"/>
      <c r="C989" s="125"/>
      <c r="D989" s="125"/>
      <c r="E989" s="125"/>
      <c r="F989" s="125"/>
      <c r="G989" s="125"/>
      <c r="H989" s="1"/>
      <c r="I989" s="1"/>
      <c r="J989" s="1"/>
      <c r="K989" s="1"/>
      <c r="L989" s="1"/>
      <c r="M989" s="1"/>
    </row>
    <row r="990" spans="1:13" s="7" customFormat="1" ht="17.25">
      <c r="A990" s="25"/>
      <c r="B990" s="123"/>
      <c r="C990" s="123"/>
      <c r="D990" s="123"/>
      <c r="E990" s="123"/>
      <c r="F990" s="123"/>
      <c r="G990" s="123"/>
      <c r="H990" s="1"/>
      <c r="I990" s="1"/>
      <c r="J990" s="1"/>
      <c r="K990" s="1"/>
      <c r="L990" s="1"/>
      <c r="M990" s="1"/>
    </row>
    <row r="991" spans="1:13" s="34" customFormat="1" ht="17.25">
      <c r="A991" s="199"/>
      <c r="B991" s="199" t="s">
        <v>3</v>
      </c>
      <c r="C991" s="199"/>
      <c r="D991" s="199"/>
      <c r="E991" s="199" t="s">
        <v>4</v>
      </c>
      <c r="F991" s="199"/>
      <c r="G991" s="199"/>
      <c r="H991" s="33"/>
      <c r="I991" s="33"/>
      <c r="J991" s="33"/>
      <c r="K991" s="33"/>
      <c r="L991" s="33"/>
      <c r="M991" s="33"/>
    </row>
    <row r="992" spans="1:13" s="34" customFormat="1" ht="17.25">
      <c r="A992" s="199"/>
      <c r="B992" s="159" t="s">
        <v>5</v>
      </c>
      <c r="C992" s="159" t="s">
        <v>6</v>
      </c>
      <c r="D992" s="159" t="s">
        <v>7</v>
      </c>
      <c r="E992" s="159" t="s">
        <v>9</v>
      </c>
      <c r="F992" s="159" t="s">
        <v>8</v>
      </c>
      <c r="G992" s="159" t="s">
        <v>417</v>
      </c>
      <c r="H992" s="33"/>
      <c r="I992" s="33"/>
      <c r="J992" s="33"/>
      <c r="K992" s="33"/>
      <c r="L992" s="33"/>
      <c r="M992" s="33"/>
    </row>
    <row r="993" spans="1:13" s="7" customFormat="1" ht="17.25">
      <c r="A993" s="23" t="s">
        <v>262</v>
      </c>
      <c r="B993" s="65"/>
      <c r="C993" s="65"/>
      <c r="D993" s="65"/>
      <c r="E993" s="65"/>
      <c r="F993" s="65"/>
      <c r="G993" s="65"/>
      <c r="H993" s="1"/>
      <c r="I993" s="1"/>
      <c r="J993" s="1"/>
      <c r="K993" s="1"/>
      <c r="L993" s="1"/>
      <c r="M993" s="1"/>
    </row>
    <row r="994" spans="1:13" s="7" customFormat="1" ht="17.25">
      <c r="A994" s="30" t="s">
        <v>263</v>
      </c>
      <c r="B994" s="66"/>
      <c r="C994" s="66"/>
      <c r="D994" s="66"/>
      <c r="E994" s="66"/>
      <c r="F994" s="66"/>
      <c r="G994" s="66"/>
      <c r="H994" s="1"/>
      <c r="I994" s="1"/>
      <c r="J994" s="1"/>
      <c r="K994" s="1"/>
      <c r="L994" s="1"/>
      <c r="M994" s="1"/>
    </row>
    <row r="995" spans="1:13" s="7" customFormat="1" ht="17.25">
      <c r="A995" s="21" t="s">
        <v>33</v>
      </c>
      <c r="B995" s="66"/>
      <c r="C995" s="66"/>
      <c r="D995" s="66"/>
      <c r="E995" s="66"/>
      <c r="F995" s="66"/>
      <c r="G995" s="66"/>
      <c r="H995" s="1"/>
      <c r="I995" s="1"/>
      <c r="J995" s="1"/>
      <c r="K995" s="1"/>
      <c r="L995" s="1"/>
      <c r="M995" s="1"/>
    </row>
    <row r="996" spans="1:13" s="7" customFormat="1" ht="17.25">
      <c r="A996" s="23" t="s">
        <v>51</v>
      </c>
      <c r="B996" s="65"/>
      <c r="C996" s="65"/>
      <c r="D996" s="65"/>
      <c r="E996" s="65"/>
      <c r="F996" s="65"/>
      <c r="G996" s="65"/>
      <c r="H996" s="1"/>
      <c r="I996" s="1"/>
      <c r="J996" s="1"/>
      <c r="K996" s="1"/>
      <c r="L996" s="1"/>
      <c r="M996" s="1"/>
    </row>
    <row r="997" spans="1:13" s="7" customFormat="1" ht="17.25">
      <c r="A997" s="38" t="s">
        <v>264</v>
      </c>
      <c r="B997" s="66">
        <v>9632</v>
      </c>
      <c r="C997" s="66">
        <v>0</v>
      </c>
      <c r="D997" s="66">
        <v>16376</v>
      </c>
      <c r="E997" s="66">
        <v>20000</v>
      </c>
      <c r="F997" s="74">
        <v>0</v>
      </c>
      <c r="G997" s="66">
        <v>20000</v>
      </c>
      <c r="H997" s="1"/>
      <c r="I997" s="1"/>
      <c r="J997" s="1"/>
      <c r="K997" s="1"/>
      <c r="L997" s="1"/>
      <c r="M997" s="1"/>
    </row>
    <row r="998" spans="1:13" s="7" customFormat="1" ht="17.25">
      <c r="A998" s="16" t="s">
        <v>60</v>
      </c>
      <c r="B998" s="93">
        <v>9632</v>
      </c>
      <c r="C998" s="93">
        <v>0</v>
      </c>
      <c r="D998" s="93">
        <v>16376</v>
      </c>
      <c r="E998" s="93">
        <v>20000</v>
      </c>
      <c r="F998" s="73"/>
      <c r="G998" s="93">
        <v>20000</v>
      </c>
      <c r="H998" s="1"/>
      <c r="I998" s="1"/>
      <c r="J998" s="1"/>
      <c r="K998" s="1"/>
      <c r="L998" s="1"/>
      <c r="M998" s="1"/>
    </row>
    <row r="999" spans="1:13" s="7" customFormat="1" ht="17.25">
      <c r="A999" s="16" t="s">
        <v>68</v>
      </c>
      <c r="B999" s="92">
        <v>9632</v>
      </c>
      <c r="C999" s="92">
        <v>0</v>
      </c>
      <c r="D999" s="92">
        <v>16376</v>
      </c>
      <c r="E999" s="92">
        <v>20000</v>
      </c>
      <c r="F999" s="88"/>
      <c r="G999" s="92">
        <v>20000</v>
      </c>
      <c r="H999" s="1"/>
      <c r="I999" s="1"/>
      <c r="J999" s="1"/>
      <c r="K999" s="1"/>
      <c r="L999" s="1"/>
      <c r="M999" s="1"/>
    </row>
    <row r="1000" spans="1:13" s="7" customFormat="1" ht="17.25">
      <c r="A1000" s="16" t="s">
        <v>265</v>
      </c>
      <c r="B1000" s="93">
        <v>9632</v>
      </c>
      <c r="C1000" s="93">
        <v>0</v>
      </c>
      <c r="D1000" s="93">
        <v>16376</v>
      </c>
      <c r="E1000" s="93">
        <v>20000</v>
      </c>
      <c r="F1000" s="73"/>
      <c r="G1000" s="93">
        <v>20000</v>
      </c>
      <c r="H1000" s="1"/>
      <c r="I1000" s="1"/>
      <c r="J1000" s="1"/>
      <c r="K1000" s="1"/>
      <c r="L1000" s="1"/>
      <c r="M1000" s="1"/>
    </row>
    <row r="1001" spans="1:13" s="7" customFormat="1" ht="17.25">
      <c r="A1001" s="23" t="s">
        <v>563</v>
      </c>
      <c r="B1001" s="92"/>
      <c r="C1001" s="92"/>
      <c r="D1001" s="92"/>
      <c r="E1001" s="92"/>
      <c r="F1001" s="88"/>
      <c r="G1001" s="92"/>
      <c r="H1001" s="1"/>
      <c r="I1001" s="1"/>
      <c r="J1001" s="1"/>
      <c r="K1001" s="1"/>
      <c r="L1001" s="1"/>
      <c r="M1001" s="1"/>
    </row>
    <row r="1002" spans="1:13" s="7" customFormat="1" ht="17.25">
      <c r="A1002" s="21" t="s">
        <v>33</v>
      </c>
      <c r="B1002" s="92"/>
      <c r="C1002" s="92"/>
      <c r="D1002" s="92"/>
      <c r="E1002" s="92"/>
      <c r="F1002" s="88"/>
      <c r="G1002" s="92"/>
      <c r="H1002" s="1"/>
      <c r="I1002" s="1"/>
      <c r="J1002" s="1"/>
      <c r="K1002" s="1"/>
      <c r="L1002" s="1"/>
      <c r="M1002" s="1"/>
    </row>
    <row r="1003" spans="1:13" s="7" customFormat="1" ht="17.25">
      <c r="A1003" s="23" t="s">
        <v>41</v>
      </c>
      <c r="B1003" s="92"/>
      <c r="C1003" s="92"/>
      <c r="D1003" s="92"/>
      <c r="E1003" s="92"/>
      <c r="F1003" s="88"/>
      <c r="G1003" s="92"/>
      <c r="H1003" s="1"/>
      <c r="I1003" s="1"/>
      <c r="J1003" s="1"/>
      <c r="K1003" s="1"/>
      <c r="L1003" s="1"/>
      <c r="M1003" s="1"/>
    </row>
    <row r="1004" spans="1:13" s="7" customFormat="1" ht="17.25">
      <c r="A1004" s="22" t="s">
        <v>42</v>
      </c>
      <c r="B1004" s="66">
        <v>7995</v>
      </c>
      <c r="C1004" s="66">
        <v>0</v>
      </c>
      <c r="D1004" s="66">
        <v>0</v>
      </c>
      <c r="E1004" s="66">
        <v>0</v>
      </c>
      <c r="F1004" s="122">
        <v>1</v>
      </c>
      <c r="G1004" s="66">
        <v>87000</v>
      </c>
      <c r="H1004" s="1"/>
      <c r="I1004" s="1"/>
      <c r="J1004" s="1"/>
      <c r="K1004" s="1"/>
      <c r="L1004" s="1"/>
      <c r="M1004" s="1"/>
    </row>
    <row r="1005" spans="1:13" s="7" customFormat="1" ht="17.25">
      <c r="A1005" s="15" t="s">
        <v>50</v>
      </c>
      <c r="B1005" s="92">
        <v>7995</v>
      </c>
      <c r="C1005" s="92">
        <v>0</v>
      </c>
      <c r="D1005" s="92">
        <v>0</v>
      </c>
      <c r="E1005" s="92">
        <v>0</v>
      </c>
      <c r="F1005" s="88"/>
      <c r="G1005" s="92">
        <v>87000</v>
      </c>
      <c r="H1005" s="1"/>
      <c r="I1005" s="1"/>
      <c r="J1005" s="1"/>
      <c r="K1005" s="1"/>
      <c r="L1005" s="1"/>
      <c r="M1005" s="1"/>
    </row>
    <row r="1006" spans="1:13" s="7" customFormat="1" ht="17.25">
      <c r="A1006" s="16" t="s">
        <v>68</v>
      </c>
      <c r="B1006" s="92">
        <v>7995</v>
      </c>
      <c r="C1006" s="92">
        <v>0</v>
      </c>
      <c r="D1006" s="92">
        <v>0</v>
      </c>
      <c r="E1006" s="92">
        <v>0</v>
      </c>
      <c r="F1006" s="88"/>
      <c r="G1006" s="92">
        <v>87000</v>
      </c>
      <c r="H1006" s="1"/>
      <c r="I1006" s="1"/>
      <c r="J1006" s="1"/>
      <c r="K1006" s="1"/>
      <c r="L1006" s="1"/>
      <c r="M1006" s="1"/>
    </row>
    <row r="1007" spans="1:13" s="7" customFormat="1" ht="17.25">
      <c r="A1007" s="16" t="s">
        <v>564</v>
      </c>
      <c r="B1007" s="92">
        <v>7995</v>
      </c>
      <c r="C1007" s="92">
        <v>0</v>
      </c>
      <c r="D1007" s="92">
        <v>0</v>
      </c>
      <c r="E1007" s="92">
        <v>0</v>
      </c>
      <c r="F1007" s="88"/>
      <c r="G1007" s="92">
        <v>87000</v>
      </c>
      <c r="H1007" s="1"/>
      <c r="I1007" s="1"/>
      <c r="J1007" s="1"/>
      <c r="K1007" s="1"/>
      <c r="L1007" s="1"/>
      <c r="M1007" s="1"/>
    </row>
    <row r="1008" spans="1:13" s="7" customFormat="1" ht="17.25">
      <c r="A1008" s="16" t="s">
        <v>266</v>
      </c>
      <c r="B1008" s="92">
        <f>B1000+B1007</f>
        <v>17627</v>
      </c>
      <c r="C1008" s="92">
        <v>0</v>
      </c>
      <c r="D1008" s="92">
        <f>D1000+D1007</f>
        <v>16376</v>
      </c>
      <c r="E1008" s="92">
        <v>20000</v>
      </c>
      <c r="F1008" s="88"/>
      <c r="G1008" s="92">
        <f>G1000+G1007</f>
        <v>107000</v>
      </c>
      <c r="H1008" s="1"/>
      <c r="I1008" s="1"/>
      <c r="J1008" s="1"/>
      <c r="K1008" s="1"/>
      <c r="L1008" s="1"/>
      <c r="M1008" s="1"/>
    </row>
    <row r="1009" spans="1:13" s="7" customFormat="1" ht="17.25">
      <c r="A1009" s="21" t="s">
        <v>267</v>
      </c>
      <c r="B1009" s="66"/>
      <c r="C1009" s="66"/>
      <c r="D1009" s="66"/>
      <c r="E1009" s="66"/>
      <c r="F1009" s="69"/>
      <c r="G1009" s="66"/>
      <c r="H1009" s="1"/>
      <c r="I1009" s="1"/>
      <c r="J1009" s="1"/>
      <c r="K1009" s="1"/>
      <c r="L1009" s="1"/>
      <c r="M1009" s="1"/>
    </row>
    <row r="1010" spans="1:13" s="7" customFormat="1" ht="17.25">
      <c r="A1010" s="23" t="s">
        <v>268</v>
      </c>
      <c r="B1010" s="66"/>
      <c r="C1010" s="66"/>
      <c r="D1010" s="66"/>
      <c r="E1010" s="66"/>
      <c r="F1010" s="69"/>
      <c r="G1010" s="66"/>
      <c r="H1010" s="1"/>
      <c r="I1010" s="1"/>
      <c r="J1010" s="1"/>
      <c r="K1010" s="1"/>
      <c r="L1010" s="1"/>
    </row>
    <row r="1011" spans="1:13" ht="17.25">
      <c r="A1011" s="21" t="s">
        <v>105</v>
      </c>
      <c r="B1011" s="66"/>
      <c r="C1011" s="66"/>
      <c r="D1011" s="66"/>
      <c r="E1011" s="66"/>
      <c r="F1011" s="114"/>
      <c r="G1011" s="66"/>
      <c r="H1011" s="1"/>
      <c r="I1011" s="1"/>
      <c r="J1011" s="1"/>
      <c r="K1011" s="1"/>
      <c r="L1011" s="1"/>
    </row>
    <row r="1012" spans="1:13" ht="17.25">
      <c r="A1012" s="21" t="s">
        <v>24</v>
      </c>
      <c r="B1012" s="83"/>
      <c r="C1012" s="83"/>
      <c r="D1012" s="83"/>
      <c r="E1012" s="83"/>
      <c r="F1012" s="113"/>
      <c r="G1012" s="83"/>
      <c r="H1012" s="1"/>
      <c r="I1012" s="1"/>
      <c r="J1012" s="1"/>
      <c r="K1012" s="1"/>
      <c r="L1012" s="1"/>
    </row>
    <row r="1013" spans="1:13" ht="17.25">
      <c r="A1013" s="21" t="s">
        <v>210</v>
      </c>
      <c r="B1013" s="65">
        <v>0</v>
      </c>
      <c r="C1013" s="65">
        <v>0</v>
      </c>
      <c r="D1013" s="65">
        <v>0</v>
      </c>
      <c r="E1013" s="65">
        <v>0</v>
      </c>
      <c r="F1013" s="127" t="s">
        <v>320</v>
      </c>
      <c r="G1013" s="65">
        <v>108000</v>
      </c>
      <c r="H1013" s="1"/>
      <c r="I1013" s="1"/>
      <c r="J1013" s="1"/>
      <c r="K1013" s="1"/>
      <c r="L1013" s="1"/>
    </row>
    <row r="1014" spans="1:13" ht="17.25">
      <c r="A1014" s="22" t="s">
        <v>211</v>
      </c>
      <c r="B1014" s="66">
        <v>0</v>
      </c>
      <c r="C1014" s="66">
        <v>0</v>
      </c>
      <c r="D1014" s="66">
        <v>0</v>
      </c>
      <c r="E1014" s="66">
        <v>0</v>
      </c>
      <c r="F1014" s="105">
        <v>1</v>
      </c>
      <c r="G1014" s="66">
        <v>12000</v>
      </c>
      <c r="H1014" s="1"/>
      <c r="I1014" s="1"/>
      <c r="J1014" s="1"/>
      <c r="K1014" s="1"/>
      <c r="L1014" s="1"/>
    </row>
    <row r="1015" spans="1:13" ht="17.25">
      <c r="A1015" s="16" t="s">
        <v>107</v>
      </c>
      <c r="B1015" s="97">
        <v>0</v>
      </c>
      <c r="C1015" s="97">
        <v>0</v>
      </c>
      <c r="D1015" s="97">
        <v>0</v>
      </c>
      <c r="E1015" s="97">
        <v>0</v>
      </c>
      <c r="F1015" s="98"/>
      <c r="G1015" s="97">
        <f>G1013+G1014</f>
        <v>120000</v>
      </c>
    </row>
    <row r="1016" spans="1:13" ht="17.25">
      <c r="A1016" s="16" t="s">
        <v>108</v>
      </c>
      <c r="B1016" s="93">
        <v>0</v>
      </c>
      <c r="C1016" s="93">
        <v>0</v>
      </c>
      <c r="D1016" s="93">
        <v>0</v>
      </c>
      <c r="E1016" s="93">
        <v>0</v>
      </c>
      <c r="F1016" s="73"/>
      <c r="G1016" s="93">
        <f>G1015</f>
        <v>120000</v>
      </c>
    </row>
    <row r="1017" spans="1:13" s="7" customFormat="1" ht="16.5" customHeight="1">
      <c r="A1017" s="21" t="s">
        <v>33</v>
      </c>
      <c r="B1017" s="56"/>
      <c r="C1017" s="56"/>
      <c r="D1017" s="56"/>
      <c r="E1017" s="56"/>
      <c r="F1017" s="68"/>
      <c r="G1017" s="56"/>
      <c r="H1017" s="1"/>
      <c r="I1017" s="1"/>
      <c r="J1017" s="1"/>
      <c r="K1017" s="1"/>
      <c r="L1017" s="1"/>
    </row>
    <row r="1018" spans="1:13" s="7" customFormat="1" ht="15.75" customHeight="1">
      <c r="A1018" s="21" t="s">
        <v>34</v>
      </c>
      <c r="B1018" s="57"/>
      <c r="C1018" s="57"/>
      <c r="D1018" s="57"/>
      <c r="E1018" s="57"/>
      <c r="F1018" s="70"/>
      <c r="G1018" s="57"/>
      <c r="H1018" s="1"/>
      <c r="I1018" s="1"/>
      <c r="J1018" s="1"/>
      <c r="K1018" s="1"/>
      <c r="L1018" s="1"/>
    </row>
    <row r="1019" spans="1:13" s="7" customFormat="1" ht="17.25">
      <c r="A1019" s="27" t="s">
        <v>565</v>
      </c>
      <c r="B1019" s="83">
        <v>0</v>
      </c>
      <c r="C1019" s="83">
        <v>0</v>
      </c>
      <c r="D1019" s="83">
        <v>0</v>
      </c>
      <c r="E1019" s="83">
        <v>0</v>
      </c>
      <c r="F1019" s="116">
        <v>1</v>
      </c>
      <c r="G1019" s="83">
        <v>4500</v>
      </c>
      <c r="H1019" s="1"/>
      <c r="I1019" s="1"/>
      <c r="J1019" s="1"/>
      <c r="K1019" s="1"/>
      <c r="L1019" s="1"/>
    </row>
    <row r="1020" spans="1:13" s="7" customFormat="1" ht="17.25">
      <c r="A1020" s="22" t="s">
        <v>109</v>
      </c>
      <c r="B1020" s="65">
        <v>0</v>
      </c>
      <c r="C1020" s="65">
        <v>0</v>
      </c>
      <c r="D1020" s="65">
        <v>0</v>
      </c>
      <c r="E1020" s="65">
        <v>10000</v>
      </c>
      <c r="F1020" s="59">
        <v>-0.8</v>
      </c>
      <c r="G1020" s="65">
        <v>2000</v>
      </c>
      <c r="H1020" s="1"/>
      <c r="I1020" s="1"/>
      <c r="J1020" s="1"/>
      <c r="K1020" s="1"/>
      <c r="L1020" s="1"/>
    </row>
    <row r="1021" spans="1:13" s="7" customFormat="1" ht="17.25">
      <c r="A1021" s="16" t="s">
        <v>40</v>
      </c>
      <c r="B1021" s="93">
        <v>0</v>
      </c>
      <c r="C1021" s="93">
        <v>0</v>
      </c>
      <c r="D1021" s="93">
        <v>0</v>
      </c>
      <c r="E1021" s="93">
        <v>10000</v>
      </c>
      <c r="F1021" s="73"/>
      <c r="G1021" s="93">
        <f>G1019+G1020</f>
        <v>6500</v>
      </c>
      <c r="H1021" s="1"/>
      <c r="I1021" s="1"/>
      <c r="J1021" s="1"/>
      <c r="K1021" s="1"/>
      <c r="L1021" s="1"/>
    </row>
    <row r="1022" spans="1:13" s="34" customFormat="1" ht="17.25">
      <c r="A1022" s="199"/>
      <c r="B1022" s="199" t="s">
        <v>3</v>
      </c>
      <c r="C1022" s="199"/>
      <c r="D1022" s="199"/>
      <c r="E1022" s="199" t="s">
        <v>4</v>
      </c>
      <c r="F1022" s="199"/>
      <c r="G1022" s="199"/>
      <c r="H1022" s="33"/>
      <c r="I1022" s="33"/>
      <c r="J1022" s="33"/>
      <c r="K1022" s="33"/>
      <c r="L1022" s="33"/>
      <c r="M1022" s="33"/>
    </row>
    <row r="1023" spans="1:13" s="34" customFormat="1" ht="17.25">
      <c r="A1023" s="199"/>
      <c r="B1023" s="159" t="s">
        <v>5</v>
      </c>
      <c r="C1023" s="159" t="s">
        <v>6</v>
      </c>
      <c r="D1023" s="159" t="s">
        <v>7</v>
      </c>
      <c r="E1023" s="159" t="s">
        <v>9</v>
      </c>
      <c r="F1023" s="159" t="s">
        <v>8</v>
      </c>
      <c r="G1023" s="159" t="s">
        <v>417</v>
      </c>
      <c r="H1023" s="33"/>
      <c r="I1023" s="33"/>
      <c r="J1023" s="33"/>
      <c r="K1023" s="33"/>
      <c r="L1023" s="33"/>
      <c r="M1023" s="33"/>
    </row>
    <row r="1024" spans="1:13" s="7" customFormat="1" ht="17.25">
      <c r="A1024" s="15"/>
      <c r="B1024" s="92"/>
      <c r="C1024" s="92"/>
      <c r="D1024" s="92"/>
      <c r="E1024" s="92"/>
      <c r="F1024" s="88"/>
      <c r="G1024" s="92"/>
      <c r="H1024" s="1"/>
      <c r="I1024" s="1"/>
      <c r="J1024" s="1"/>
      <c r="K1024" s="1"/>
      <c r="L1024" s="1"/>
    </row>
    <row r="1025" spans="1:12" s="7" customFormat="1" ht="17.25">
      <c r="A1025" s="23" t="s">
        <v>41</v>
      </c>
      <c r="B1025" s="65"/>
      <c r="C1025" s="65"/>
      <c r="D1025" s="65"/>
      <c r="E1025" s="65"/>
      <c r="F1025" s="68"/>
      <c r="G1025" s="65"/>
      <c r="H1025" s="1"/>
      <c r="I1025" s="1"/>
      <c r="J1025" s="1"/>
      <c r="K1025" s="1"/>
      <c r="L1025" s="1"/>
    </row>
    <row r="1026" spans="1:12" s="7" customFormat="1" ht="17.25">
      <c r="A1026" s="26" t="s">
        <v>42</v>
      </c>
      <c r="B1026" s="65">
        <v>407500</v>
      </c>
      <c r="C1026" s="65">
        <v>478000</v>
      </c>
      <c r="D1026" s="65">
        <f>460000-4067.82</f>
        <v>455932.18</v>
      </c>
      <c r="E1026" s="65">
        <v>480000</v>
      </c>
      <c r="F1026" s="62">
        <v>1.43E-2</v>
      </c>
      <c r="G1026" s="65">
        <v>486840</v>
      </c>
      <c r="H1026" s="1"/>
      <c r="I1026" s="1"/>
      <c r="J1026" s="1"/>
      <c r="K1026" s="1"/>
      <c r="L1026" s="1"/>
    </row>
    <row r="1027" spans="1:12" ht="17.25">
      <c r="A1027" s="27" t="s">
        <v>44</v>
      </c>
      <c r="B1027" s="200"/>
      <c r="C1027" s="200"/>
      <c r="D1027" s="200"/>
      <c r="E1027" s="200"/>
      <c r="F1027" s="200"/>
      <c r="G1027" s="200"/>
      <c r="H1027" s="1"/>
      <c r="I1027" s="1"/>
      <c r="J1027" s="1"/>
      <c r="K1027" s="1"/>
      <c r="L1027" s="1"/>
    </row>
    <row r="1028" spans="1:12" ht="17.25">
      <c r="A1028" s="24" t="s">
        <v>45</v>
      </c>
      <c r="B1028" s="202"/>
      <c r="C1028" s="202"/>
      <c r="D1028" s="202"/>
      <c r="E1028" s="202"/>
      <c r="F1028" s="202"/>
      <c r="G1028" s="202"/>
      <c r="H1028" s="1"/>
      <c r="I1028" s="1"/>
      <c r="J1028" s="1"/>
      <c r="K1028" s="1"/>
      <c r="L1028" s="1"/>
    </row>
    <row r="1029" spans="1:12" ht="14.25" customHeight="1">
      <c r="A1029" s="26" t="s">
        <v>389</v>
      </c>
      <c r="B1029" s="65">
        <v>0</v>
      </c>
      <c r="C1029" s="65">
        <v>0</v>
      </c>
      <c r="D1029" s="65">
        <v>20000</v>
      </c>
      <c r="E1029" s="65">
        <v>0</v>
      </c>
      <c r="F1029" s="151"/>
      <c r="G1029" s="65">
        <v>0</v>
      </c>
      <c r="H1029" s="1"/>
      <c r="I1029" s="1"/>
      <c r="J1029" s="1"/>
      <c r="K1029" s="1"/>
      <c r="L1029" s="1"/>
    </row>
    <row r="1030" spans="1:12" ht="14.25" customHeight="1">
      <c r="A1030" s="22" t="s">
        <v>49</v>
      </c>
      <c r="B1030" s="66">
        <v>0</v>
      </c>
      <c r="C1030" s="66">
        <v>0</v>
      </c>
      <c r="D1030" s="66">
        <v>0</v>
      </c>
      <c r="E1030" s="66">
        <v>60000</v>
      </c>
      <c r="F1030" s="122">
        <v>-0.25</v>
      </c>
      <c r="G1030" s="66">
        <v>45000</v>
      </c>
      <c r="H1030" s="1"/>
      <c r="I1030" s="1"/>
      <c r="J1030" s="1"/>
      <c r="K1030" s="1"/>
      <c r="L1030" s="1"/>
    </row>
    <row r="1031" spans="1:12" ht="14.25" customHeight="1">
      <c r="A1031" s="24"/>
      <c r="B1031" s="114"/>
      <c r="C1031" s="114"/>
      <c r="D1031" s="114"/>
      <c r="E1031" s="114"/>
      <c r="F1031" s="114"/>
      <c r="G1031" s="114"/>
      <c r="H1031" s="1"/>
      <c r="I1031" s="1"/>
      <c r="J1031" s="1"/>
      <c r="K1031" s="1"/>
      <c r="L1031" s="1"/>
    </row>
    <row r="1032" spans="1:12" ht="17.25">
      <c r="A1032" s="15" t="s">
        <v>50</v>
      </c>
      <c r="B1032" s="92">
        <v>407500</v>
      </c>
      <c r="C1032" s="92">
        <v>478000</v>
      </c>
      <c r="D1032" s="92">
        <f>D1026+D1029</f>
        <v>475932.18</v>
      </c>
      <c r="E1032" s="92">
        <f>480000+60000</f>
        <v>540000</v>
      </c>
      <c r="F1032" s="88"/>
      <c r="G1032" s="92">
        <f>486840+45000</f>
        <v>531840</v>
      </c>
      <c r="H1032" s="1"/>
      <c r="I1032" s="1"/>
      <c r="J1032" s="1"/>
      <c r="K1032" s="1"/>
      <c r="L1032" s="1"/>
    </row>
    <row r="1033" spans="1:12" ht="17.25">
      <c r="A1033" s="23" t="s">
        <v>51</v>
      </c>
      <c r="B1033" s="83"/>
      <c r="C1033" s="83"/>
      <c r="D1033" s="83"/>
      <c r="E1033" s="83"/>
      <c r="F1033" s="76"/>
      <c r="G1033" s="83"/>
      <c r="H1033" s="1"/>
      <c r="I1033" s="1"/>
      <c r="J1033" s="1"/>
      <c r="K1033" s="1"/>
      <c r="L1033" s="1"/>
    </row>
    <row r="1034" spans="1:12" ht="17.25">
      <c r="A1034" s="24" t="s">
        <v>55</v>
      </c>
      <c r="B1034" s="65">
        <v>142042.15</v>
      </c>
      <c r="C1034" s="65">
        <v>54687.95</v>
      </c>
      <c r="D1034" s="65">
        <v>109413</v>
      </c>
      <c r="E1034" s="65">
        <v>107845</v>
      </c>
      <c r="F1034" s="62">
        <v>0.2054</v>
      </c>
      <c r="G1034" s="65">
        <v>130000</v>
      </c>
      <c r="H1034" s="1"/>
      <c r="I1034" s="1"/>
      <c r="J1034" s="1"/>
      <c r="K1034" s="1"/>
      <c r="L1034" s="1"/>
    </row>
    <row r="1035" spans="1:12" ht="17.25">
      <c r="A1035" s="24" t="s">
        <v>59</v>
      </c>
      <c r="B1035" s="66">
        <v>0</v>
      </c>
      <c r="C1035" s="66">
        <v>0</v>
      </c>
      <c r="D1035" s="66">
        <v>48400</v>
      </c>
      <c r="E1035" s="66">
        <v>50000</v>
      </c>
      <c r="F1035" s="140" t="s">
        <v>322</v>
      </c>
      <c r="G1035" s="66">
        <v>50000</v>
      </c>
      <c r="H1035" s="1"/>
      <c r="I1035" s="1"/>
      <c r="J1035" s="1"/>
      <c r="K1035" s="1"/>
      <c r="L1035" s="1"/>
    </row>
    <row r="1036" spans="1:12" ht="17.25">
      <c r="A1036" s="16" t="s">
        <v>60</v>
      </c>
      <c r="B1036" s="97">
        <v>142042.15</v>
      </c>
      <c r="C1036" s="97">
        <v>54687.95</v>
      </c>
      <c r="D1036" s="97">
        <f>SUM(D1034:D1035)</f>
        <v>157813</v>
      </c>
      <c r="E1036" s="97">
        <f>107845+50000</f>
        <v>157845</v>
      </c>
      <c r="F1036" s="98"/>
      <c r="G1036" s="97">
        <f>130000+50000</f>
        <v>180000</v>
      </c>
    </row>
    <row r="1037" spans="1:12" ht="17.25">
      <c r="A1037" s="23" t="s">
        <v>61</v>
      </c>
      <c r="B1037" s="19"/>
      <c r="C1037" s="19"/>
      <c r="D1037" s="19"/>
      <c r="E1037" s="19"/>
      <c r="F1037" s="19"/>
      <c r="G1037" s="19"/>
    </row>
    <row r="1038" spans="1:12" ht="17.25">
      <c r="A1038" s="24" t="s">
        <v>62</v>
      </c>
      <c r="B1038" s="66">
        <v>639286.68999999994</v>
      </c>
      <c r="C1038" s="66">
        <v>735484.11</v>
      </c>
      <c r="D1038" s="66">
        <v>625123.56999999995</v>
      </c>
      <c r="E1038" s="66">
        <v>750000</v>
      </c>
      <c r="F1038" s="140" t="s">
        <v>322</v>
      </c>
      <c r="G1038" s="66">
        <v>750000</v>
      </c>
    </row>
    <row r="1039" spans="1:12" ht="17.25">
      <c r="A1039" s="15" t="s">
        <v>67</v>
      </c>
      <c r="B1039" s="93">
        <v>639286.68999999994</v>
      </c>
      <c r="C1039" s="93">
        <v>735484.11</v>
      </c>
      <c r="D1039" s="93">
        <f>SUM(D1038)</f>
        <v>625123.56999999995</v>
      </c>
      <c r="E1039" s="93">
        <v>750000</v>
      </c>
      <c r="F1039" s="73"/>
      <c r="G1039" s="93">
        <v>750000</v>
      </c>
    </row>
    <row r="1040" spans="1:12" ht="17.25">
      <c r="A1040" s="16" t="s">
        <v>68</v>
      </c>
      <c r="B1040" s="92">
        <f>B1021+B1032+B1036+B1039</f>
        <v>1188828.8399999999</v>
      </c>
      <c r="C1040" s="92">
        <f>C1021+C1032+C1036+C1039</f>
        <v>1268172.06</v>
      </c>
      <c r="D1040" s="92">
        <f>D1021+D1032+D1036+D1039</f>
        <v>1258868.75</v>
      </c>
      <c r="E1040" s="92">
        <f>E1021+E1032+E1036+E1039</f>
        <v>1457845</v>
      </c>
      <c r="F1040" s="88"/>
      <c r="G1040" s="92">
        <f>G1021+G1032+G1036+G1039</f>
        <v>1468340</v>
      </c>
    </row>
    <row r="1041" spans="1:13" s="7" customFormat="1" ht="17.25">
      <c r="A1041" s="21" t="s">
        <v>69</v>
      </c>
      <c r="B1041" s="65"/>
      <c r="C1041" s="65"/>
      <c r="D1041" s="65"/>
      <c r="E1041" s="65"/>
      <c r="F1041" s="68"/>
      <c r="G1041" s="65"/>
      <c r="H1041" s="1"/>
      <c r="I1041" s="1"/>
      <c r="J1041" s="1"/>
      <c r="K1041" s="1"/>
      <c r="L1041" s="1"/>
      <c r="M1041" s="1"/>
    </row>
    <row r="1042" spans="1:13" s="7" customFormat="1" ht="17.25">
      <c r="A1042" s="21" t="s">
        <v>70</v>
      </c>
      <c r="B1042" s="65"/>
      <c r="C1042" s="65"/>
      <c r="D1042" s="65"/>
      <c r="E1042" s="65"/>
      <c r="F1042" s="68"/>
      <c r="G1042" s="65"/>
      <c r="H1042" s="1"/>
      <c r="I1042" s="1"/>
      <c r="J1042" s="1"/>
      <c r="K1042" s="1"/>
      <c r="L1042" s="1"/>
      <c r="M1042" s="1"/>
    </row>
    <row r="1043" spans="1:13" s="7" customFormat="1" ht="17.25">
      <c r="A1043" s="26" t="s">
        <v>137</v>
      </c>
      <c r="B1043" s="65"/>
      <c r="C1043" s="65"/>
      <c r="D1043" s="65"/>
      <c r="E1043" s="65"/>
      <c r="F1043" s="68"/>
      <c r="G1043" s="65"/>
      <c r="H1043" s="1"/>
      <c r="I1043" s="1"/>
      <c r="J1043" s="1"/>
      <c r="K1043" s="1"/>
      <c r="L1043" s="1"/>
      <c r="M1043" s="1"/>
    </row>
    <row r="1044" spans="1:13" s="7" customFormat="1" ht="17.25">
      <c r="A1044" s="27" t="s">
        <v>391</v>
      </c>
      <c r="B1044" s="200">
        <v>64932.95</v>
      </c>
      <c r="C1044" s="200">
        <v>0</v>
      </c>
      <c r="D1044" s="200">
        <v>0</v>
      </c>
      <c r="E1044" s="200">
        <v>0</v>
      </c>
      <c r="F1044" s="203"/>
      <c r="G1044" s="200">
        <v>0</v>
      </c>
      <c r="H1044" s="1"/>
      <c r="I1044" s="1"/>
      <c r="J1044" s="1"/>
      <c r="K1044" s="1"/>
      <c r="L1044" s="1"/>
      <c r="M1044" s="1"/>
    </row>
    <row r="1045" spans="1:13" s="7" customFormat="1" ht="17.25">
      <c r="A1045" s="26" t="s">
        <v>390</v>
      </c>
      <c r="B1045" s="202"/>
      <c r="C1045" s="202"/>
      <c r="D1045" s="202"/>
      <c r="E1045" s="202"/>
      <c r="F1045" s="202"/>
      <c r="G1045" s="202"/>
      <c r="H1045" s="1"/>
      <c r="I1045" s="1"/>
      <c r="J1045" s="1"/>
      <c r="K1045" s="1"/>
      <c r="L1045" s="1"/>
      <c r="M1045" s="1"/>
    </row>
    <row r="1046" spans="1:13" s="7" customFormat="1" ht="17.25">
      <c r="A1046" s="27" t="s">
        <v>566</v>
      </c>
      <c r="B1046" s="113">
        <v>0</v>
      </c>
      <c r="C1046" s="113">
        <v>0</v>
      </c>
      <c r="D1046" s="113">
        <v>0</v>
      </c>
      <c r="E1046" s="113">
        <v>0</v>
      </c>
      <c r="F1046" s="116">
        <v>1</v>
      </c>
      <c r="G1046" s="113">
        <v>19975</v>
      </c>
      <c r="H1046" s="1"/>
      <c r="I1046" s="1"/>
      <c r="J1046" s="1"/>
      <c r="K1046" s="1"/>
      <c r="L1046" s="1"/>
      <c r="M1046" s="1"/>
    </row>
    <row r="1047" spans="1:13" s="7" customFormat="1" ht="17.25">
      <c r="A1047" s="51" t="s">
        <v>567</v>
      </c>
      <c r="B1047" s="113">
        <v>0</v>
      </c>
      <c r="C1047" s="113">
        <v>45710.400000000001</v>
      </c>
      <c r="D1047" s="113">
        <v>0</v>
      </c>
      <c r="E1047" s="113">
        <v>0</v>
      </c>
      <c r="F1047" s="116">
        <v>1</v>
      </c>
      <c r="G1047" s="113">
        <v>22470</v>
      </c>
      <c r="H1047" s="1"/>
      <c r="I1047" s="1"/>
      <c r="J1047" s="1"/>
      <c r="K1047" s="1"/>
      <c r="L1047" s="1"/>
      <c r="M1047" s="1"/>
    </row>
    <row r="1048" spans="1:13" s="7" customFormat="1" ht="17.25">
      <c r="A1048" s="27" t="s">
        <v>391</v>
      </c>
      <c r="B1048" s="200">
        <v>0</v>
      </c>
      <c r="C1048" s="200">
        <v>0</v>
      </c>
      <c r="D1048" s="200">
        <v>42265</v>
      </c>
      <c r="E1048" s="200">
        <v>16050</v>
      </c>
      <c r="F1048" s="203">
        <v>-1</v>
      </c>
      <c r="G1048" s="200">
        <v>0</v>
      </c>
      <c r="H1048" s="1"/>
      <c r="I1048" s="1"/>
      <c r="J1048" s="1"/>
      <c r="K1048" s="1"/>
      <c r="L1048" s="1"/>
      <c r="M1048" s="1"/>
    </row>
    <row r="1049" spans="1:13" s="7" customFormat="1" ht="17.25">
      <c r="A1049" s="24" t="s">
        <v>392</v>
      </c>
      <c r="B1049" s="202"/>
      <c r="C1049" s="202"/>
      <c r="D1049" s="202"/>
      <c r="E1049" s="202"/>
      <c r="F1049" s="202"/>
      <c r="G1049" s="202"/>
      <c r="H1049" s="1"/>
      <c r="I1049" s="1"/>
      <c r="J1049" s="1"/>
      <c r="K1049" s="1"/>
      <c r="L1049" s="1"/>
      <c r="M1049" s="1"/>
    </row>
    <row r="1050" spans="1:13" s="7" customFormat="1" ht="17.25">
      <c r="A1050" s="27" t="s">
        <v>391</v>
      </c>
      <c r="B1050" s="200">
        <v>0</v>
      </c>
      <c r="C1050" s="200">
        <v>0</v>
      </c>
      <c r="D1050" s="200">
        <v>0</v>
      </c>
      <c r="E1050" s="200">
        <v>16050</v>
      </c>
      <c r="F1050" s="203">
        <v>-1</v>
      </c>
      <c r="G1050" s="200">
        <v>0</v>
      </c>
      <c r="H1050" s="1"/>
      <c r="I1050" s="1"/>
      <c r="J1050" s="1"/>
      <c r="K1050" s="1"/>
      <c r="L1050" s="1"/>
      <c r="M1050" s="1"/>
    </row>
    <row r="1051" spans="1:13" s="7" customFormat="1" ht="17.25">
      <c r="A1051" s="24" t="s">
        <v>568</v>
      </c>
      <c r="B1051" s="202"/>
      <c r="C1051" s="202"/>
      <c r="D1051" s="202"/>
      <c r="E1051" s="202"/>
      <c r="F1051" s="202"/>
      <c r="G1051" s="202"/>
      <c r="H1051" s="1"/>
      <c r="I1051" s="1"/>
      <c r="J1051" s="1"/>
      <c r="K1051" s="1"/>
      <c r="L1051" s="1"/>
      <c r="M1051" s="1"/>
    </row>
    <row r="1052" spans="1:13" s="7" customFormat="1" ht="17.25">
      <c r="A1052" s="15" t="s">
        <v>82</v>
      </c>
      <c r="B1052" s="93">
        <f>SUM(B1044:B1049)</f>
        <v>64932.95</v>
      </c>
      <c r="C1052" s="93">
        <f>SUM(C1044:C1049)</f>
        <v>45710.400000000001</v>
      </c>
      <c r="D1052" s="93">
        <f>SUM(D1044:D1049)</f>
        <v>42265</v>
      </c>
      <c r="E1052" s="93">
        <f>SUM(E1044:E1051)</f>
        <v>32100</v>
      </c>
      <c r="F1052" s="73"/>
      <c r="G1052" s="93">
        <f>SUM(G1044:G1049)</f>
        <v>42445</v>
      </c>
      <c r="H1052" s="1"/>
      <c r="I1052" s="1"/>
      <c r="J1052" s="1"/>
      <c r="K1052" s="1"/>
      <c r="L1052" s="1"/>
      <c r="M1052" s="1"/>
    </row>
    <row r="1053" spans="1:13" s="34" customFormat="1" ht="17.25">
      <c r="A1053" s="199"/>
      <c r="B1053" s="199" t="s">
        <v>3</v>
      </c>
      <c r="C1053" s="199"/>
      <c r="D1053" s="199"/>
      <c r="E1053" s="199" t="s">
        <v>4</v>
      </c>
      <c r="F1053" s="199"/>
      <c r="G1053" s="199"/>
      <c r="H1053" s="33"/>
      <c r="I1053" s="33"/>
      <c r="J1053" s="33"/>
      <c r="K1053" s="33"/>
      <c r="L1053" s="33"/>
      <c r="M1053" s="33"/>
    </row>
    <row r="1054" spans="1:13" s="34" customFormat="1" ht="17.25">
      <c r="A1054" s="199"/>
      <c r="B1054" s="159" t="s">
        <v>5</v>
      </c>
      <c r="C1054" s="159" t="s">
        <v>6</v>
      </c>
      <c r="D1054" s="159" t="s">
        <v>7</v>
      </c>
      <c r="E1054" s="159" t="s">
        <v>9</v>
      </c>
      <c r="F1054" s="159" t="s">
        <v>8</v>
      </c>
      <c r="G1054" s="159" t="s">
        <v>417</v>
      </c>
      <c r="H1054" s="33"/>
      <c r="I1054" s="33"/>
      <c r="J1054" s="33"/>
      <c r="K1054" s="33"/>
      <c r="L1054" s="33"/>
      <c r="M1054" s="33"/>
    </row>
    <row r="1055" spans="1:13" s="7" customFormat="1" ht="17.25">
      <c r="A1055" s="29" t="s">
        <v>152</v>
      </c>
      <c r="B1055" s="65"/>
      <c r="C1055" s="65"/>
      <c r="D1055" s="65"/>
      <c r="E1055" s="65"/>
      <c r="F1055" s="68"/>
      <c r="G1055" s="65"/>
      <c r="H1055" s="1"/>
      <c r="I1055" s="1"/>
      <c r="J1055" s="1"/>
      <c r="K1055" s="1"/>
      <c r="L1055" s="1"/>
      <c r="M1055" s="1"/>
    </row>
    <row r="1056" spans="1:13" s="7" customFormat="1" ht="17.25">
      <c r="A1056" s="22" t="s">
        <v>569</v>
      </c>
      <c r="B1056" s="200">
        <v>0</v>
      </c>
      <c r="C1056" s="200">
        <v>0</v>
      </c>
      <c r="D1056" s="200">
        <v>0</v>
      </c>
      <c r="E1056" s="200">
        <v>0</v>
      </c>
      <c r="F1056" s="203">
        <v>1</v>
      </c>
      <c r="G1056" s="200">
        <v>100000</v>
      </c>
      <c r="H1056" s="1"/>
      <c r="I1056" s="1"/>
      <c r="J1056" s="1"/>
      <c r="K1056" s="1"/>
      <c r="L1056" s="1"/>
      <c r="M1056" s="1"/>
    </row>
    <row r="1057" spans="1:13" s="7" customFormat="1" ht="17.25">
      <c r="A1057" s="22" t="s">
        <v>572</v>
      </c>
      <c r="B1057" s="201"/>
      <c r="C1057" s="201"/>
      <c r="D1057" s="201"/>
      <c r="E1057" s="201"/>
      <c r="F1057" s="201"/>
      <c r="G1057" s="201"/>
      <c r="H1057" s="1"/>
      <c r="I1057" s="1"/>
      <c r="J1057" s="1"/>
      <c r="K1057" s="1"/>
      <c r="L1057" s="1"/>
    </row>
    <row r="1058" spans="1:13" s="7" customFormat="1" ht="17.25">
      <c r="A1058" s="22" t="s">
        <v>570</v>
      </c>
      <c r="B1058" s="202"/>
      <c r="C1058" s="202"/>
      <c r="D1058" s="202"/>
      <c r="E1058" s="202"/>
      <c r="F1058" s="202"/>
      <c r="G1058" s="202"/>
      <c r="H1058" s="1"/>
      <c r="I1058" s="1"/>
      <c r="J1058" s="1"/>
      <c r="K1058" s="1"/>
      <c r="L1058" s="1"/>
    </row>
    <row r="1059" spans="1:13" s="7" customFormat="1" ht="17.25">
      <c r="A1059" s="22" t="s">
        <v>571</v>
      </c>
      <c r="B1059" s="200">
        <v>0</v>
      </c>
      <c r="C1059" s="200">
        <v>0</v>
      </c>
      <c r="D1059" s="200">
        <v>0</v>
      </c>
      <c r="E1059" s="200">
        <v>0</v>
      </c>
      <c r="F1059" s="203">
        <v>1</v>
      </c>
      <c r="G1059" s="200">
        <v>100000</v>
      </c>
      <c r="H1059" s="1"/>
      <c r="I1059" s="1"/>
      <c r="J1059" s="1"/>
      <c r="K1059" s="1"/>
      <c r="L1059" s="1"/>
      <c r="M1059" s="1"/>
    </row>
    <row r="1060" spans="1:13" s="7" customFormat="1" ht="17.25">
      <c r="A1060" s="22" t="s">
        <v>573</v>
      </c>
      <c r="B1060" s="201"/>
      <c r="C1060" s="201"/>
      <c r="D1060" s="201"/>
      <c r="E1060" s="201"/>
      <c r="F1060" s="201"/>
      <c r="G1060" s="201"/>
      <c r="H1060" s="1"/>
      <c r="I1060" s="1"/>
      <c r="J1060" s="1"/>
      <c r="K1060" s="1"/>
      <c r="L1060" s="1"/>
    </row>
    <row r="1061" spans="1:13" s="7" customFormat="1" ht="17.25">
      <c r="A1061" s="22" t="s">
        <v>570</v>
      </c>
      <c r="B1061" s="202"/>
      <c r="C1061" s="202"/>
      <c r="D1061" s="202"/>
      <c r="E1061" s="202"/>
      <c r="F1061" s="202"/>
      <c r="G1061" s="202"/>
      <c r="H1061" s="1"/>
      <c r="I1061" s="1"/>
      <c r="J1061" s="1"/>
      <c r="K1061" s="1"/>
      <c r="L1061" s="1"/>
    </row>
    <row r="1062" spans="1:13" s="7" customFormat="1" ht="17.25">
      <c r="A1062" s="27" t="s">
        <v>393</v>
      </c>
      <c r="B1062" s="200"/>
      <c r="C1062" s="200"/>
      <c r="D1062" s="200"/>
      <c r="E1062" s="200"/>
      <c r="F1062" s="200"/>
      <c r="G1062" s="200"/>
      <c r="H1062" s="1"/>
      <c r="I1062" s="1"/>
      <c r="J1062" s="1"/>
      <c r="K1062" s="1"/>
      <c r="L1062" s="1"/>
      <c r="M1062" s="1"/>
    </row>
    <row r="1063" spans="1:13" s="7" customFormat="1" ht="17.25">
      <c r="A1063" s="26" t="s">
        <v>394</v>
      </c>
      <c r="B1063" s="201"/>
      <c r="C1063" s="201"/>
      <c r="D1063" s="201"/>
      <c r="E1063" s="201"/>
      <c r="F1063" s="201"/>
      <c r="G1063" s="201"/>
      <c r="H1063" s="1"/>
      <c r="I1063" s="1"/>
      <c r="J1063" s="1"/>
      <c r="K1063" s="1"/>
      <c r="L1063" s="1"/>
    </row>
    <row r="1064" spans="1:13" s="7" customFormat="1" ht="17.25">
      <c r="A1064" s="26" t="s">
        <v>395</v>
      </c>
      <c r="B1064" s="202"/>
      <c r="C1064" s="202"/>
      <c r="D1064" s="202"/>
      <c r="E1064" s="202"/>
      <c r="F1064" s="202"/>
      <c r="G1064" s="202"/>
      <c r="H1064" s="1"/>
      <c r="I1064" s="1"/>
      <c r="J1064" s="1"/>
      <c r="K1064" s="1"/>
      <c r="L1064" s="1"/>
    </row>
    <row r="1065" spans="1:13" s="7" customFormat="1" ht="16.5" customHeight="1">
      <c r="A1065" s="27" t="s">
        <v>397</v>
      </c>
      <c r="B1065" s="200">
        <v>0</v>
      </c>
      <c r="C1065" s="200">
        <v>80000</v>
      </c>
      <c r="D1065" s="200">
        <f>343500-10000</f>
        <v>333500</v>
      </c>
      <c r="E1065" s="200">
        <v>0</v>
      </c>
      <c r="F1065" s="203"/>
      <c r="G1065" s="200">
        <v>0</v>
      </c>
      <c r="H1065" s="1"/>
      <c r="I1065" s="1"/>
      <c r="J1065" s="1"/>
      <c r="K1065" s="1"/>
      <c r="L1065" s="1"/>
    </row>
    <row r="1066" spans="1:13" s="7" customFormat="1" ht="16.5" customHeight="1">
      <c r="A1066" s="24" t="s">
        <v>396</v>
      </c>
      <c r="B1066" s="202"/>
      <c r="C1066" s="202"/>
      <c r="D1066" s="202"/>
      <c r="E1066" s="202"/>
      <c r="F1066" s="202"/>
      <c r="G1066" s="202"/>
      <c r="H1066" s="1"/>
      <c r="I1066" s="1"/>
      <c r="J1066" s="1"/>
      <c r="K1066" s="1"/>
      <c r="L1066" s="1"/>
    </row>
    <row r="1067" spans="1:13" s="7" customFormat="1" ht="15.75" customHeight="1">
      <c r="A1067" s="27" t="s">
        <v>398</v>
      </c>
      <c r="B1067" s="200">
        <v>99800</v>
      </c>
      <c r="C1067" s="200">
        <v>0</v>
      </c>
      <c r="D1067" s="200">
        <f>480000-15000</f>
        <v>465000</v>
      </c>
      <c r="E1067" s="200">
        <v>0</v>
      </c>
      <c r="F1067" s="203"/>
      <c r="G1067" s="200">
        <v>0</v>
      </c>
      <c r="H1067" s="1"/>
      <c r="I1067" s="1"/>
      <c r="J1067" s="1"/>
      <c r="K1067" s="1"/>
      <c r="L1067" s="1"/>
    </row>
    <row r="1068" spans="1:13" s="7" customFormat="1" ht="17.25">
      <c r="A1068" s="26" t="s">
        <v>399</v>
      </c>
      <c r="B1068" s="201"/>
      <c r="C1068" s="201"/>
      <c r="D1068" s="201"/>
      <c r="E1068" s="201"/>
      <c r="F1068" s="201"/>
      <c r="G1068" s="201"/>
      <c r="H1068" s="1"/>
      <c r="I1068" s="1"/>
      <c r="J1068" s="1"/>
      <c r="K1068" s="1"/>
      <c r="L1068" s="1"/>
    </row>
    <row r="1069" spans="1:13" s="7" customFormat="1" ht="17.25">
      <c r="A1069" s="26" t="s">
        <v>400</v>
      </c>
      <c r="B1069" s="202"/>
      <c r="C1069" s="202"/>
      <c r="D1069" s="202"/>
      <c r="E1069" s="202"/>
      <c r="F1069" s="202"/>
      <c r="G1069" s="202"/>
      <c r="H1069" s="1"/>
      <c r="I1069" s="1"/>
      <c r="J1069" s="1"/>
      <c r="K1069" s="1"/>
      <c r="L1069" s="1"/>
    </row>
    <row r="1070" spans="1:13" s="7" customFormat="1" ht="17.25">
      <c r="A1070" s="27" t="s">
        <v>401</v>
      </c>
      <c r="B1070" s="200">
        <v>0</v>
      </c>
      <c r="C1070" s="200">
        <v>0</v>
      </c>
      <c r="D1070" s="200">
        <v>31000</v>
      </c>
      <c r="E1070" s="200">
        <v>0</v>
      </c>
      <c r="F1070" s="203"/>
      <c r="G1070" s="200">
        <v>0</v>
      </c>
      <c r="H1070" s="1"/>
      <c r="I1070" s="1"/>
      <c r="J1070" s="1"/>
      <c r="K1070" s="1"/>
      <c r="L1070" s="1"/>
    </row>
    <row r="1071" spans="1:13" s="7" customFormat="1" ht="17.25">
      <c r="A1071" s="26" t="s">
        <v>402</v>
      </c>
      <c r="B1071" s="201"/>
      <c r="C1071" s="201"/>
      <c r="D1071" s="201"/>
      <c r="E1071" s="201"/>
      <c r="F1071" s="201"/>
      <c r="G1071" s="201"/>
      <c r="H1071" s="1"/>
      <c r="I1071" s="1"/>
      <c r="J1071" s="1"/>
      <c r="K1071" s="1"/>
      <c r="L1071" s="1"/>
    </row>
    <row r="1072" spans="1:13" s="7" customFormat="1" ht="17.25">
      <c r="A1072" s="26" t="s">
        <v>403</v>
      </c>
      <c r="B1072" s="202"/>
      <c r="C1072" s="202"/>
      <c r="D1072" s="202"/>
      <c r="E1072" s="202"/>
      <c r="F1072" s="202"/>
      <c r="G1072" s="202"/>
      <c r="H1072" s="1"/>
      <c r="I1072" s="1"/>
      <c r="J1072" s="1"/>
      <c r="K1072" s="1"/>
      <c r="L1072" s="1"/>
    </row>
    <row r="1073" spans="1:13" s="7" customFormat="1" ht="17.25">
      <c r="A1073" s="27" t="s">
        <v>401</v>
      </c>
      <c r="B1073" s="200">
        <v>0</v>
      </c>
      <c r="C1073" s="200">
        <v>0</v>
      </c>
      <c r="D1073" s="200">
        <f>72000-800</f>
        <v>71200</v>
      </c>
      <c r="E1073" s="200">
        <v>0</v>
      </c>
      <c r="F1073" s="203"/>
      <c r="G1073" s="200">
        <v>0</v>
      </c>
      <c r="H1073" s="1"/>
      <c r="I1073" s="1"/>
      <c r="J1073" s="1"/>
      <c r="K1073" s="1"/>
      <c r="L1073" s="1"/>
    </row>
    <row r="1074" spans="1:13" s="7" customFormat="1" ht="17.25">
      <c r="A1074" s="26" t="s">
        <v>404</v>
      </c>
      <c r="B1074" s="202"/>
      <c r="C1074" s="202"/>
      <c r="D1074" s="202"/>
      <c r="E1074" s="202"/>
      <c r="F1074" s="202"/>
      <c r="G1074" s="202"/>
      <c r="H1074" s="1"/>
      <c r="I1074" s="1"/>
      <c r="J1074" s="1"/>
      <c r="K1074" s="1"/>
      <c r="L1074" s="1"/>
    </row>
    <row r="1075" spans="1:13" ht="17.25">
      <c r="A1075" s="27" t="s">
        <v>405</v>
      </c>
      <c r="B1075" s="200">
        <v>0</v>
      </c>
      <c r="C1075" s="200">
        <v>0</v>
      </c>
      <c r="D1075" s="200">
        <f>350000-8000</f>
        <v>342000</v>
      </c>
      <c r="E1075" s="200">
        <v>0</v>
      </c>
      <c r="F1075" s="203"/>
      <c r="G1075" s="200">
        <v>0</v>
      </c>
      <c r="H1075" s="1"/>
      <c r="I1075" s="1"/>
      <c r="J1075" s="1"/>
      <c r="K1075" s="1"/>
      <c r="L1075" s="1"/>
    </row>
    <row r="1076" spans="1:13" ht="14.25" customHeight="1">
      <c r="A1076" s="26" t="s">
        <v>406</v>
      </c>
      <c r="B1076" s="201"/>
      <c r="C1076" s="201"/>
      <c r="D1076" s="201"/>
      <c r="E1076" s="201"/>
      <c r="F1076" s="201"/>
      <c r="G1076" s="201"/>
      <c r="H1076" s="1"/>
      <c r="I1076" s="1"/>
      <c r="J1076" s="1"/>
      <c r="K1076" s="1"/>
      <c r="L1076" s="1"/>
    </row>
    <row r="1077" spans="1:13" ht="14.25" customHeight="1">
      <c r="A1077" s="26" t="s">
        <v>407</v>
      </c>
      <c r="B1077" s="202"/>
      <c r="C1077" s="202"/>
      <c r="D1077" s="202"/>
      <c r="E1077" s="202"/>
      <c r="F1077" s="202"/>
      <c r="G1077" s="202"/>
      <c r="H1077" s="1"/>
      <c r="I1077" s="1"/>
      <c r="J1077" s="1"/>
      <c r="K1077" s="1"/>
      <c r="L1077" s="1"/>
    </row>
    <row r="1078" spans="1:13" ht="17.25">
      <c r="A1078" s="27" t="s">
        <v>408</v>
      </c>
      <c r="B1078" s="200">
        <v>0</v>
      </c>
      <c r="C1078" s="200">
        <v>0</v>
      </c>
      <c r="D1078" s="200">
        <f>114000-2800</f>
        <v>111200</v>
      </c>
      <c r="E1078" s="200">
        <v>0</v>
      </c>
      <c r="F1078" s="203"/>
      <c r="G1078" s="200">
        <v>0</v>
      </c>
      <c r="H1078" s="1"/>
      <c r="I1078" s="1"/>
      <c r="J1078" s="1"/>
      <c r="K1078" s="1"/>
      <c r="L1078" s="1"/>
    </row>
    <row r="1079" spans="1:13" ht="17.25">
      <c r="A1079" s="26" t="s">
        <v>409</v>
      </c>
      <c r="B1079" s="201"/>
      <c r="C1079" s="201"/>
      <c r="D1079" s="201"/>
      <c r="E1079" s="201"/>
      <c r="F1079" s="201"/>
      <c r="G1079" s="201"/>
      <c r="H1079" s="1"/>
      <c r="I1079" s="1"/>
      <c r="J1079" s="1"/>
      <c r="K1079" s="1"/>
      <c r="L1079" s="1"/>
    </row>
    <row r="1080" spans="1:13" ht="17.25">
      <c r="A1080" s="26" t="s">
        <v>410</v>
      </c>
      <c r="B1080" s="202"/>
      <c r="C1080" s="202"/>
      <c r="D1080" s="202"/>
      <c r="E1080" s="202"/>
      <c r="F1080" s="202"/>
      <c r="G1080" s="202"/>
      <c r="H1080" s="1"/>
      <c r="I1080" s="1"/>
      <c r="J1080" s="1"/>
      <c r="K1080" s="1"/>
      <c r="L1080" s="1"/>
    </row>
    <row r="1081" spans="1:13" ht="17.25">
      <c r="A1081" s="27" t="s">
        <v>411</v>
      </c>
      <c r="B1081" s="200">
        <v>0</v>
      </c>
      <c r="C1081" s="200">
        <v>0</v>
      </c>
      <c r="D1081" s="200">
        <f>69000-400</f>
        <v>68600</v>
      </c>
      <c r="E1081" s="200">
        <v>0</v>
      </c>
      <c r="F1081" s="203"/>
      <c r="G1081" s="200">
        <v>0</v>
      </c>
      <c r="H1081" s="1"/>
      <c r="I1081" s="1"/>
      <c r="J1081" s="1"/>
      <c r="K1081" s="1"/>
      <c r="L1081" s="1"/>
    </row>
    <row r="1082" spans="1:13" ht="17.25">
      <c r="A1082" s="24" t="s">
        <v>412</v>
      </c>
      <c r="B1082" s="202"/>
      <c r="C1082" s="202"/>
      <c r="D1082" s="202"/>
      <c r="E1082" s="202"/>
      <c r="F1082" s="202"/>
      <c r="G1082" s="202"/>
      <c r="H1082" s="1"/>
      <c r="I1082" s="1"/>
      <c r="J1082" s="1"/>
      <c r="K1082" s="1"/>
      <c r="L1082" s="1"/>
    </row>
    <row r="1083" spans="1:13" ht="17.25">
      <c r="A1083" s="15" t="s">
        <v>160</v>
      </c>
      <c r="B1083" s="92">
        <v>99800</v>
      </c>
      <c r="C1083" s="92">
        <v>80000</v>
      </c>
      <c r="D1083" s="92">
        <f>SUM(D1056:D1082)</f>
        <v>1422500</v>
      </c>
      <c r="E1083" s="92">
        <v>0</v>
      </c>
      <c r="F1083" s="88"/>
      <c r="G1083" s="92">
        <v>200000</v>
      </c>
      <c r="H1083" s="1"/>
      <c r="I1083" s="1"/>
      <c r="J1083" s="1"/>
      <c r="K1083" s="1"/>
      <c r="L1083" s="1"/>
    </row>
    <row r="1084" spans="1:13" s="34" customFormat="1" ht="17.25">
      <c r="A1084" s="199"/>
      <c r="B1084" s="199" t="s">
        <v>3</v>
      </c>
      <c r="C1084" s="199"/>
      <c r="D1084" s="199"/>
      <c r="E1084" s="199" t="s">
        <v>4</v>
      </c>
      <c r="F1084" s="199"/>
      <c r="G1084" s="199"/>
      <c r="H1084" s="33"/>
      <c r="I1084" s="33"/>
      <c r="J1084" s="33"/>
      <c r="K1084" s="33"/>
      <c r="L1084" s="33"/>
      <c r="M1084" s="33"/>
    </row>
    <row r="1085" spans="1:13" s="34" customFormat="1" ht="17.25">
      <c r="A1085" s="199"/>
      <c r="B1085" s="159" t="s">
        <v>5</v>
      </c>
      <c r="C1085" s="159" t="s">
        <v>6</v>
      </c>
      <c r="D1085" s="159" t="s">
        <v>7</v>
      </c>
      <c r="E1085" s="159" t="s">
        <v>9</v>
      </c>
      <c r="F1085" s="159" t="s">
        <v>8</v>
      </c>
      <c r="G1085" s="159" t="s">
        <v>417</v>
      </c>
      <c r="H1085" s="33"/>
      <c r="I1085" s="33"/>
      <c r="J1085" s="33"/>
      <c r="K1085" s="33"/>
      <c r="L1085" s="33"/>
      <c r="M1085" s="33"/>
    </row>
    <row r="1086" spans="1:13" ht="17.25">
      <c r="A1086" s="15" t="s">
        <v>88</v>
      </c>
      <c r="B1086" s="97">
        <f>B1052+B1083</f>
        <v>164732.95000000001</v>
      </c>
      <c r="C1086" s="97">
        <f>C1052+C1083</f>
        <v>125710.39999999999</v>
      </c>
      <c r="D1086" s="97">
        <f>D1052+D1083</f>
        <v>1464765</v>
      </c>
      <c r="E1086" s="97">
        <f>E1052+E1083</f>
        <v>32100</v>
      </c>
      <c r="F1086" s="98"/>
      <c r="G1086" s="97">
        <f>G1052+G1083</f>
        <v>242445</v>
      </c>
    </row>
    <row r="1087" spans="1:13" ht="17.25">
      <c r="A1087" s="15" t="s">
        <v>269</v>
      </c>
      <c r="B1087" s="93">
        <f>B1040+B1086</f>
        <v>1353561.7899999998</v>
      </c>
      <c r="C1087" s="93">
        <f>C1040+C1086</f>
        <v>1393882.46</v>
      </c>
      <c r="D1087" s="93">
        <f>D1040+D1086</f>
        <v>2723633.75</v>
      </c>
      <c r="E1087" s="93">
        <f>E1086+E1040</f>
        <v>1489945</v>
      </c>
      <c r="F1087" s="73"/>
      <c r="G1087" s="93">
        <f>G1086+G1040+G1016</f>
        <v>1830785</v>
      </c>
    </row>
    <row r="1088" spans="1:13" ht="17.25">
      <c r="A1088" s="15" t="s">
        <v>270</v>
      </c>
      <c r="B1088" s="92">
        <v>1353561.79</v>
      </c>
      <c r="C1088" s="92">
        <v>1393882.46</v>
      </c>
      <c r="D1088" s="92">
        <f>D1087</f>
        <v>2723633.75</v>
      </c>
      <c r="E1088" s="92">
        <f>E1087</f>
        <v>1489945</v>
      </c>
      <c r="F1088" s="88"/>
      <c r="G1088" s="92">
        <f>G1087</f>
        <v>1830785</v>
      </c>
    </row>
    <row r="1089" spans="1:13" ht="17.25">
      <c r="A1089" s="23" t="s">
        <v>271</v>
      </c>
      <c r="B1089" s="65"/>
      <c r="C1089" s="65"/>
      <c r="D1089" s="65"/>
      <c r="E1089" s="65"/>
      <c r="F1089" s="68"/>
      <c r="G1089" s="65"/>
    </row>
    <row r="1090" spans="1:13" ht="17.25">
      <c r="A1090" s="21" t="s">
        <v>272</v>
      </c>
      <c r="B1090" s="66"/>
      <c r="C1090" s="66"/>
      <c r="D1090" s="66"/>
      <c r="E1090" s="66"/>
      <c r="F1090" s="69"/>
      <c r="G1090" s="66"/>
    </row>
    <row r="1091" spans="1:13" s="7" customFormat="1" ht="17.25">
      <c r="A1091" s="21" t="s">
        <v>273</v>
      </c>
      <c r="B1091" s="65"/>
      <c r="C1091" s="65"/>
      <c r="D1091" s="65"/>
      <c r="E1091" s="65"/>
      <c r="F1091" s="68"/>
      <c r="G1091" s="65"/>
      <c r="H1091" s="1"/>
      <c r="I1091" s="1"/>
      <c r="J1091" s="1"/>
      <c r="K1091" s="1"/>
      <c r="L1091" s="1"/>
      <c r="M1091" s="1"/>
    </row>
    <row r="1092" spans="1:13" s="7" customFormat="1" ht="17.25">
      <c r="A1092" s="21" t="s">
        <v>273</v>
      </c>
      <c r="B1092" s="65"/>
      <c r="C1092" s="65"/>
      <c r="D1092" s="65"/>
      <c r="E1092" s="65"/>
      <c r="F1092" s="68"/>
      <c r="G1092" s="65"/>
      <c r="H1092" s="1"/>
      <c r="I1092" s="1"/>
      <c r="J1092" s="1"/>
      <c r="K1092" s="1"/>
      <c r="L1092" s="1"/>
      <c r="M1092" s="1"/>
    </row>
    <row r="1093" spans="1:13" s="7" customFormat="1" ht="17.25">
      <c r="A1093" s="26" t="s">
        <v>274</v>
      </c>
      <c r="B1093" s="83">
        <v>0</v>
      </c>
      <c r="C1093" s="83">
        <v>0</v>
      </c>
      <c r="D1093" s="83">
        <v>0</v>
      </c>
      <c r="E1093" s="83">
        <v>350000</v>
      </c>
      <c r="F1093" s="128" t="s">
        <v>574</v>
      </c>
      <c r="G1093" s="83">
        <v>297725</v>
      </c>
      <c r="H1093" s="1"/>
      <c r="I1093" s="1"/>
      <c r="J1093" s="1"/>
      <c r="K1093" s="1"/>
      <c r="L1093" s="1"/>
      <c r="M1093" s="1"/>
    </row>
    <row r="1094" spans="1:13" s="7" customFormat="1" ht="17.25">
      <c r="A1094" s="27" t="s">
        <v>275</v>
      </c>
      <c r="B1094" s="65">
        <v>0</v>
      </c>
      <c r="C1094" s="65">
        <v>0</v>
      </c>
      <c r="D1094" s="65">
        <v>0</v>
      </c>
      <c r="E1094" s="65">
        <v>105000</v>
      </c>
      <c r="F1094" s="119" t="s">
        <v>575</v>
      </c>
      <c r="G1094" s="65">
        <v>102390</v>
      </c>
      <c r="H1094" s="1"/>
      <c r="I1094" s="1"/>
      <c r="J1094" s="1"/>
      <c r="K1094" s="1"/>
      <c r="L1094" s="1"/>
      <c r="M1094" s="1"/>
    </row>
    <row r="1095" spans="1:13" s="7" customFormat="1" ht="17.25">
      <c r="A1095" s="22" t="s">
        <v>276</v>
      </c>
      <c r="B1095" s="66">
        <v>134581</v>
      </c>
      <c r="C1095" s="66">
        <v>110658</v>
      </c>
      <c r="D1095" s="66">
        <v>125936</v>
      </c>
      <c r="E1095" s="66">
        <v>185000</v>
      </c>
      <c r="F1095" s="140" t="s">
        <v>576</v>
      </c>
      <c r="G1095" s="66">
        <v>286000</v>
      </c>
      <c r="H1095" s="1"/>
      <c r="I1095" s="1"/>
      <c r="J1095" s="1"/>
      <c r="K1095" s="1"/>
      <c r="L1095" s="1"/>
      <c r="M1095" s="1"/>
    </row>
    <row r="1096" spans="1:13" s="7" customFormat="1" ht="17.25">
      <c r="A1096" s="24" t="s">
        <v>277</v>
      </c>
      <c r="B1096" s="65">
        <v>0</v>
      </c>
      <c r="C1096" s="65">
        <v>0</v>
      </c>
      <c r="D1096" s="65">
        <v>0</v>
      </c>
      <c r="E1096" s="65">
        <v>7779000</v>
      </c>
      <c r="F1096" s="119" t="s">
        <v>577</v>
      </c>
      <c r="G1096" s="65">
        <v>7600000</v>
      </c>
      <c r="H1096" s="1"/>
      <c r="I1096" s="1"/>
      <c r="J1096" s="1"/>
      <c r="K1096" s="1"/>
      <c r="L1096" s="1"/>
      <c r="M1096" s="1"/>
    </row>
    <row r="1097" spans="1:13" s="7" customFormat="1" ht="17.25">
      <c r="A1097" s="31" t="s">
        <v>278</v>
      </c>
      <c r="B1097" s="66">
        <v>0</v>
      </c>
      <c r="C1097" s="66">
        <v>0</v>
      </c>
      <c r="D1097" s="66">
        <v>0</v>
      </c>
      <c r="E1097" s="66">
        <v>2066000</v>
      </c>
      <c r="F1097" s="105" t="s">
        <v>578</v>
      </c>
      <c r="G1097" s="66">
        <v>1950000</v>
      </c>
      <c r="H1097" s="1"/>
      <c r="I1097" s="1"/>
      <c r="J1097" s="1"/>
      <c r="K1097" s="1"/>
      <c r="L1097" s="1"/>
      <c r="M1097" s="1"/>
    </row>
    <row r="1098" spans="1:13" s="7" customFormat="1" ht="17.25">
      <c r="A1098" s="22" t="s">
        <v>279</v>
      </c>
      <c r="B1098" s="65">
        <v>108000</v>
      </c>
      <c r="C1098" s="65">
        <v>111500</v>
      </c>
      <c r="D1098" s="65">
        <v>112500</v>
      </c>
      <c r="E1098" s="65">
        <v>114000</v>
      </c>
      <c r="F1098" s="119" t="s">
        <v>579</v>
      </c>
      <c r="G1098" s="65">
        <v>110000</v>
      </c>
      <c r="H1098" s="1"/>
      <c r="I1098" s="1"/>
      <c r="J1098" s="1"/>
      <c r="K1098" s="1"/>
      <c r="L1098" s="1"/>
      <c r="M1098" s="1"/>
    </row>
    <row r="1099" spans="1:13" s="7" customFormat="1" ht="17.25">
      <c r="A1099" s="22" t="s">
        <v>280</v>
      </c>
      <c r="B1099" s="66">
        <v>328712</v>
      </c>
      <c r="C1099" s="66">
        <v>58000</v>
      </c>
      <c r="D1099" s="66">
        <v>84579</v>
      </c>
      <c r="E1099" s="66">
        <v>300000</v>
      </c>
      <c r="F1099" s="140" t="s">
        <v>325</v>
      </c>
      <c r="G1099" s="66">
        <v>200000</v>
      </c>
      <c r="H1099" s="1"/>
      <c r="I1099" s="1"/>
      <c r="J1099" s="1"/>
      <c r="K1099" s="1"/>
      <c r="L1099" s="1"/>
      <c r="M1099" s="1"/>
    </row>
    <row r="1100" spans="1:13" s="7" customFormat="1" ht="17.25">
      <c r="A1100" s="27" t="s">
        <v>281</v>
      </c>
      <c r="B1100" s="83">
        <v>310967.71999999997</v>
      </c>
      <c r="C1100" s="83">
        <v>319431.74</v>
      </c>
      <c r="D1100" s="83">
        <v>181970.58</v>
      </c>
      <c r="E1100" s="83">
        <v>199387</v>
      </c>
      <c r="F1100" s="152" t="s">
        <v>580</v>
      </c>
      <c r="G1100" s="83">
        <v>215000</v>
      </c>
      <c r="H1100" s="1"/>
      <c r="I1100" s="1"/>
      <c r="J1100" s="1"/>
      <c r="K1100" s="1"/>
      <c r="L1100" s="1"/>
      <c r="M1100" s="1"/>
    </row>
    <row r="1101" spans="1:13" s="7" customFormat="1" ht="17.25">
      <c r="A1101" s="27" t="s">
        <v>413</v>
      </c>
      <c r="B1101" s="200">
        <v>323280</v>
      </c>
      <c r="C1101" s="200">
        <v>386920</v>
      </c>
      <c r="D1101" s="200">
        <v>400600</v>
      </c>
      <c r="E1101" s="200">
        <v>417700</v>
      </c>
      <c r="F1101" s="206" t="s">
        <v>581</v>
      </c>
      <c r="G1101" s="200">
        <v>430000</v>
      </c>
      <c r="H1101" s="1"/>
      <c r="I1101" s="1"/>
      <c r="J1101" s="1"/>
      <c r="K1101" s="1"/>
      <c r="L1101" s="1"/>
      <c r="M1101" s="1"/>
    </row>
    <row r="1102" spans="1:13" s="7" customFormat="1" ht="17.25">
      <c r="A1102" s="24" t="s">
        <v>414</v>
      </c>
      <c r="B1102" s="202"/>
      <c r="C1102" s="202"/>
      <c r="D1102" s="202"/>
      <c r="E1102" s="202"/>
      <c r="F1102" s="202"/>
      <c r="G1102" s="202"/>
      <c r="H1102" s="1"/>
      <c r="I1102" s="1"/>
      <c r="J1102" s="1"/>
      <c r="K1102" s="1"/>
      <c r="L1102" s="1"/>
      <c r="M1102" s="1"/>
    </row>
    <row r="1103" spans="1:13" s="7" customFormat="1" ht="17.25">
      <c r="A1103" s="15" t="s">
        <v>282</v>
      </c>
      <c r="B1103" s="65">
        <f>SUM(B1095:B1102)</f>
        <v>1205540.72</v>
      </c>
      <c r="C1103" s="65">
        <f>SUM(C1095:C1102)</f>
        <v>986509.74</v>
      </c>
      <c r="D1103" s="65">
        <f>SUM(D1093:D1102)</f>
        <v>905585.58</v>
      </c>
      <c r="E1103" s="65">
        <f>E1093+E1094+E1095+E1096+E1097+E1098+E1099+E1100+E1101+E1102</f>
        <v>11516087</v>
      </c>
      <c r="F1103" s="65"/>
      <c r="G1103" s="65">
        <f>G1093+G1094+G1095+G1096+G1097+G1098+G1099+G1100+G1101+G1102</f>
        <v>11191115</v>
      </c>
      <c r="H1103" s="1"/>
      <c r="I1103" s="1"/>
      <c r="J1103" s="1"/>
      <c r="K1103" s="1"/>
      <c r="L1103" s="1"/>
      <c r="M1103" s="1"/>
    </row>
    <row r="1104" spans="1:13" s="7" customFormat="1" ht="17.25">
      <c r="A1104" s="15" t="s">
        <v>282</v>
      </c>
      <c r="B1104" s="66">
        <v>1205540.72</v>
      </c>
      <c r="C1104" s="66">
        <v>986509.74</v>
      </c>
      <c r="D1104" s="66">
        <f>D1103</f>
        <v>905585.58</v>
      </c>
      <c r="E1104" s="66">
        <f>E1103</f>
        <v>11516087</v>
      </c>
      <c r="F1104" s="66"/>
      <c r="G1104" s="66">
        <f>G1103</f>
        <v>11191115</v>
      </c>
      <c r="H1104" s="1"/>
      <c r="I1104" s="1"/>
      <c r="J1104" s="1"/>
      <c r="K1104" s="1"/>
      <c r="L1104" s="1"/>
    </row>
    <row r="1105" spans="1:12" s="7" customFormat="1" ht="16.5" customHeight="1">
      <c r="A1105" s="16" t="s">
        <v>282</v>
      </c>
      <c r="B1105" s="56">
        <v>1205540.72</v>
      </c>
      <c r="C1105" s="56">
        <v>986509.74</v>
      </c>
      <c r="D1105" s="56">
        <f>D1103</f>
        <v>905585.58</v>
      </c>
      <c r="E1105" s="56">
        <f>E1103</f>
        <v>11516087</v>
      </c>
      <c r="F1105" s="56"/>
      <c r="G1105" s="56">
        <f>G1104</f>
        <v>11191115</v>
      </c>
      <c r="H1105" s="1"/>
      <c r="I1105" s="1"/>
      <c r="J1105" s="1"/>
      <c r="K1105" s="1"/>
      <c r="L1105" s="1"/>
    </row>
    <row r="1106" spans="1:12" s="7" customFormat="1" ht="15.75" customHeight="1">
      <c r="A1106" s="16" t="s">
        <v>283</v>
      </c>
      <c r="B1106" s="65">
        <v>1205540.72</v>
      </c>
      <c r="C1106" s="65">
        <v>986509.74</v>
      </c>
      <c r="D1106" s="65">
        <f>D1103</f>
        <v>905585.58</v>
      </c>
      <c r="E1106" s="65">
        <f>E1103</f>
        <v>11516087</v>
      </c>
      <c r="F1106" s="65"/>
      <c r="G1106" s="65">
        <f>G1103</f>
        <v>11191115</v>
      </c>
      <c r="H1106" s="1"/>
      <c r="I1106" s="1"/>
      <c r="J1106" s="1"/>
      <c r="K1106" s="1"/>
      <c r="L1106" s="1"/>
    </row>
    <row r="1107" spans="1:12" s="7" customFormat="1" ht="17.25">
      <c r="A1107" s="32" t="s">
        <v>284</v>
      </c>
      <c r="B1107" s="66">
        <f>B237+B300+B471+B592+B629+B795+B845+B928+B988+B1008+B1088+B1103</f>
        <v>35012311.109999999</v>
      </c>
      <c r="C1107" s="66">
        <f>C237+C300+C471+C592+C629+C795+C845+C928+C988+C1008+C1088+C1103</f>
        <v>31509489.689999998</v>
      </c>
      <c r="D1107" s="66">
        <f>D237+D300+D471+D592+D629+D795+D845+D928+D988+D1008+D1088+D1103</f>
        <v>31766727.859999999</v>
      </c>
      <c r="E1107" s="66">
        <f>E237+E300+E471+E592+E629+E795+E845+E928+E988+E1008+E1088+E1103</f>
        <v>46500000</v>
      </c>
      <c r="F1107" s="66"/>
      <c r="G1107" s="66">
        <f>G237+G300+G471+G592+G629+G795+G845+G928+G988+G1008+G1088+G1103</f>
        <v>46000000</v>
      </c>
      <c r="H1107" s="1"/>
      <c r="I1107" s="1"/>
      <c r="J1107" s="1"/>
      <c r="K1107" s="1"/>
      <c r="L1107" s="1"/>
    </row>
    <row r="1108" spans="1:12" s="7" customFormat="1" ht="17.25">
      <c r="A1108" s="49"/>
      <c r="B1108" s="214"/>
      <c r="C1108" s="214"/>
      <c r="D1108" s="214"/>
      <c r="E1108" s="214"/>
      <c r="F1108" s="214"/>
      <c r="G1108" s="214"/>
      <c r="H1108" s="1"/>
      <c r="I1108" s="1"/>
      <c r="J1108" s="1"/>
      <c r="K1108" s="1"/>
      <c r="L1108" s="1"/>
    </row>
    <row r="1109" spans="1:12" s="7" customFormat="1" ht="17.25">
      <c r="A1109" s="40"/>
      <c r="B1109" s="213"/>
      <c r="C1109" s="213"/>
      <c r="D1109" s="213"/>
      <c r="E1109" s="213"/>
      <c r="F1109" s="213"/>
      <c r="G1109" s="213"/>
      <c r="H1109" s="1"/>
      <c r="I1109" s="1"/>
      <c r="J1109" s="1"/>
      <c r="K1109" s="1"/>
      <c r="L1109" s="1"/>
    </row>
    <row r="1110" spans="1:12" s="7" customFormat="1" ht="17.25">
      <c r="A1110" s="40"/>
      <c r="B1110" s="42"/>
      <c r="C1110" s="42"/>
      <c r="D1110" s="42"/>
      <c r="E1110" s="42"/>
      <c r="F1110" s="42"/>
      <c r="G1110" s="42"/>
      <c r="H1110" s="1"/>
      <c r="I1110" s="1"/>
      <c r="J1110" s="1"/>
      <c r="K1110" s="1"/>
      <c r="L1110" s="1"/>
    </row>
    <row r="1111" spans="1:12" ht="17.25">
      <c r="A1111" s="40"/>
      <c r="B1111" s="213"/>
      <c r="C1111" s="213"/>
      <c r="D1111" s="213"/>
      <c r="E1111" s="213"/>
      <c r="F1111" s="213"/>
      <c r="G1111" s="213"/>
      <c r="H1111" s="1"/>
      <c r="I1111" s="1"/>
      <c r="J1111" s="1"/>
      <c r="K1111" s="1"/>
      <c r="L1111" s="1"/>
    </row>
    <row r="1112" spans="1:12" ht="14.25" customHeight="1">
      <c r="A1112" s="40"/>
      <c r="B1112" s="213"/>
      <c r="C1112" s="213"/>
      <c r="D1112" s="213"/>
      <c r="E1112" s="213"/>
      <c r="F1112" s="213"/>
      <c r="G1112" s="213"/>
      <c r="H1112" s="1"/>
      <c r="I1112" s="1"/>
      <c r="J1112" s="1"/>
      <c r="K1112" s="1"/>
      <c r="L1112" s="1"/>
    </row>
    <row r="1113" spans="1:12" ht="17.25">
      <c r="A1113" s="40"/>
      <c r="B1113" s="213"/>
      <c r="C1113" s="213"/>
      <c r="D1113" s="213"/>
      <c r="E1113" s="213"/>
      <c r="F1113" s="213"/>
      <c r="G1113" s="213"/>
      <c r="H1113" s="1"/>
      <c r="I1113" s="1"/>
      <c r="J1113" s="1"/>
      <c r="K1113" s="1"/>
      <c r="L1113" s="1"/>
    </row>
    <row r="1114" spans="1:12" ht="17.25">
      <c r="A1114" s="40"/>
      <c r="B1114" s="213"/>
      <c r="C1114" s="213"/>
      <c r="D1114" s="213"/>
      <c r="E1114" s="213"/>
      <c r="F1114" s="213"/>
      <c r="G1114" s="213"/>
      <c r="H1114" s="1"/>
      <c r="I1114" s="1"/>
      <c r="J1114" s="1"/>
      <c r="K1114" s="1"/>
      <c r="L1114" s="1"/>
    </row>
    <row r="1115" spans="1:12" ht="17.25">
      <c r="A1115" s="40"/>
      <c r="B1115" s="42"/>
      <c r="C1115" s="42"/>
      <c r="D1115" s="42"/>
      <c r="E1115" s="42"/>
      <c r="F1115" s="42"/>
      <c r="G1115" s="42"/>
      <c r="H1115" s="1"/>
      <c r="I1115" s="1"/>
      <c r="J1115" s="1"/>
      <c r="K1115" s="1"/>
      <c r="L1115" s="1"/>
    </row>
    <row r="1116" spans="1:12" ht="17.25">
      <c r="A1116" s="25"/>
      <c r="B1116" s="42"/>
      <c r="C1116" s="42"/>
      <c r="D1116" s="42"/>
      <c r="E1116" s="42"/>
      <c r="F1116" s="42"/>
      <c r="G1116" s="42"/>
      <c r="H1116" s="1"/>
      <c r="I1116" s="1"/>
      <c r="J1116" s="1"/>
      <c r="K1116" s="1"/>
      <c r="L1116" s="1"/>
    </row>
    <row r="1117" spans="1:12" ht="17.25">
      <c r="A1117" s="25"/>
      <c r="B1117" s="42"/>
      <c r="C1117" s="42"/>
      <c r="D1117" s="42"/>
      <c r="E1117" s="42"/>
      <c r="F1117" s="42"/>
      <c r="G1117" s="42"/>
    </row>
    <row r="1118" spans="1:12" ht="17.25">
      <c r="A1118" s="25"/>
      <c r="B1118" s="42"/>
      <c r="C1118" s="42"/>
      <c r="D1118" s="42"/>
      <c r="E1118" s="42"/>
      <c r="F1118" s="42"/>
      <c r="G1118" s="42"/>
    </row>
    <row r="1119" spans="1:12" ht="17.25">
      <c r="A1119" s="25"/>
      <c r="B1119" s="42"/>
      <c r="C1119" s="42"/>
      <c r="D1119" s="42"/>
      <c r="E1119" s="42"/>
      <c r="F1119" s="42"/>
      <c r="G1119" s="42"/>
    </row>
    <row r="1120" spans="1:12" ht="17.25">
      <c r="A1120" s="107"/>
      <c r="B1120" s="42"/>
      <c r="C1120" s="42"/>
      <c r="D1120" s="42"/>
      <c r="E1120" s="42"/>
      <c r="F1120" s="42"/>
      <c r="G1120" s="42"/>
    </row>
    <row r="1121" spans="1:7" ht="17.25">
      <c r="A1121" s="107"/>
      <c r="B1121" s="42"/>
      <c r="C1121" s="42"/>
      <c r="D1121" s="42"/>
      <c r="E1121" s="42"/>
      <c r="F1121" s="42"/>
      <c r="G1121" s="42"/>
    </row>
  </sheetData>
  <mergeCells count="832">
    <mergeCell ref="A1084:A1085"/>
    <mergeCell ref="B1084:D1084"/>
    <mergeCell ref="E1084:G1084"/>
    <mergeCell ref="B1056:B1058"/>
    <mergeCell ref="C1056:C1058"/>
    <mergeCell ref="D1056:D1058"/>
    <mergeCell ref="E1056:E1058"/>
    <mergeCell ref="F1056:F1058"/>
    <mergeCell ref="G1056:G1058"/>
    <mergeCell ref="B1059:B1061"/>
    <mergeCell ref="C1059:C1061"/>
    <mergeCell ref="D1059:D1061"/>
    <mergeCell ref="E1059:E1061"/>
    <mergeCell ref="F1059:F1061"/>
    <mergeCell ref="G1059:G1061"/>
    <mergeCell ref="B1081:B1082"/>
    <mergeCell ref="C1081:C1082"/>
    <mergeCell ref="D1081:D1082"/>
    <mergeCell ref="E1081:E1082"/>
    <mergeCell ref="F1081:F1082"/>
    <mergeCell ref="G1081:G1082"/>
    <mergeCell ref="B1065:B1066"/>
    <mergeCell ref="C1065:C1066"/>
    <mergeCell ref="D1065:D1066"/>
    <mergeCell ref="B1050:B1051"/>
    <mergeCell ref="C1050:C1051"/>
    <mergeCell ref="D1050:D1051"/>
    <mergeCell ref="E1050:E1051"/>
    <mergeCell ref="F1050:F1051"/>
    <mergeCell ref="G1050:G1051"/>
    <mergeCell ref="A1053:A1054"/>
    <mergeCell ref="B1053:D1053"/>
    <mergeCell ref="E1053:G1053"/>
    <mergeCell ref="B983:B984"/>
    <mergeCell ref="C983:C984"/>
    <mergeCell ref="D983:D984"/>
    <mergeCell ref="E983:E984"/>
    <mergeCell ref="F983:F984"/>
    <mergeCell ref="G983:G984"/>
    <mergeCell ref="A960:A961"/>
    <mergeCell ref="B960:D960"/>
    <mergeCell ref="E960:G960"/>
    <mergeCell ref="B966:B967"/>
    <mergeCell ref="C966:C967"/>
    <mergeCell ref="D966:D967"/>
    <mergeCell ref="E966:E967"/>
    <mergeCell ref="F966:F967"/>
    <mergeCell ref="G966:G967"/>
    <mergeCell ref="B968:B969"/>
    <mergeCell ref="C968:C969"/>
    <mergeCell ref="D968:D969"/>
    <mergeCell ref="E968:E969"/>
    <mergeCell ref="F968:F969"/>
    <mergeCell ref="G968:G969"/>
    <mergeCell ref="B964:B965"/>
    <mergeCell ref="C964:C965"/>
    <mergeCell ref="D964:D965"/>
    <mergeCell ref="A867:A868"/>
    <mergeCell ref="B867:D867"/>
    <mergeCell ref="E867:G867"/>
    <mergeCell ref="A898:A899"/>
    <mergeCell ref="B898:D898"/>
    <mergeCell ref="E898:G898"/>
    <mergeCell ref="B811:B812"/>
    <mergeCell ref="C811:C812"/>
    <mergeCell ref="D811:D812"/>
    <mergeCell ref="E811:E812"/>
    <mergeCell ref="F811:F812"/>
    <mergeCell ref="G811:G812"/>
    <mergeCell ref="B826:B827"/>
    <mergeCell ref="C826:C827"/>
    <mergeCell ref="D826:D827"/>
    <mergeCell ref="E826:E827"/>
    <mergeCell ref="F826:F827"/>
    <mergeCell ref="G826:G827"/>
    <mergeCell ref="B817:B818"/>
    <mergeCell ref="C817:C818"/>
    <mergeCell ref="D817:D818"/>
    <mergeCell ref="E817:E818"/>
    <mergeCell ref="F817:F818"/>
    <mergeCell ref="G817:G818"/>
    <mergeCell ref="A805:A806"/>
    <mergeCell ref="B805:D805"/>
    <mergeCell ref="E805:G805"/>
    <mergeCell ref="B807:B808"/>
    <mergeCell ref="C807:C808"/>
    <mergeCell ref="D807:D808"/>
    <mergeCell ref="E807:E808"/>
    <mergeCell ref="F807:F808"/>
    <mergeCell ref="G807:G808"/>
    <mergeCell ref="A774:A775"/>
    <mergeCell ref="B774:D774"/>
    <mergeCell ref="E774:G774"/>
    <mergeCell ref="B802:B803"/>
    <mergeCell ref="C802:C803"/>
    <mergeCell ref="D802:D803"/>
    <mergeCell ref="E802:E803"/>
    <mergeCell ref="F802:F803"/>
    <mergeCell ref="G802:G803"/>
    <mergeCell ref="B788:B789"/>
    <mergeCell ref="C788:C789"/>
    <mergeCell ref="D788:D789"/>
    <mergeCell ref="B790:B791"/>
    <mergeCell ref="C790:C791"/>
    <mergeCell ref="D790:D791"/>
    <mergeCell ref="E790:E791"/>
    <mergeCell ref="F790:F791"/>
    <mergeCell ref="G790:G791"/>
    <mergeCell ref="B800:B801"/>
    <mergeCell ref="C800:C801"/>
    <mergeCell ref="D800:D801"/>
    <mergeCell ref="E800:E801"/>
    <mergeCell ref="F800:F801"/>
    <mergeCell ref="G800:G801"/>
    <mergeCell ref="E765:E766"/>
    <mergeCell ref="F765:F766"/>
    <mergeCell ref="G765:G766"/>
    <mergeCell ref="E759:E760"/>
    <mergeCell ref="F759:F760"/>
    <mergeCell ref="G759:G760"/>
    <mergeCell ref="B761:B763"/>
    <mergeCell ref="C761:C763"/>
    <mergeCell ref="D761:D763"/>
    <mergeCell ref="E761:E763"/>
    <mergeCell ref="F761:F763"/>
    <mergeCell ref="G761:G763"/>
    <mergeCell ref="A743:A744"/>
    <mergeCell ref="B743:D743"/>
    <mergeCell ref="E743:G743"/>
    <mergeCell ref="B727:B728"/>
    <mergeCell ref="C727:C728"/>
    <mergeCell ref="D727:D728"/>
    <mergeCell ref="E727:E728"/>
    <mergeCell ref="F727:F728"/>
    <mergeCell ref="G727:G728"/>
    <mergeCell ref="B729:B730"/>
    <mergeCell ref="C729:C730"/>
    <mergeCell ref="D729:D730"/>
    <mergeCell ref="E729:E730"/>
    <mergeCell ref="F729:F730"/>
    <mergeCell ref="G729:G730"/>
    <mergeCell ref="B734:B736"/>
    <mergeCell ref="C734:C736"/>
    <mergeCell ref="D734:D736"/>
    <mergeCell ref="E734:E736"/>
    <mergeCell ref="F734:F736"/>
    <mergeCell ref="G734:G736"/>
    <mergeCell ref="B737:B739"/>
    <mergeCell ref="C737:C739"/>
    <mergeCell ref="D737:D739"/>
    <mergeCell ref="B721:B723"/>
    <mergeCell ref="C721:C723"/>
    <mergeCell ref="D721:D723"/>
    <mergeCell ref="E721:E723"/>
    <mergeCell ref="F721:F723"/>
    <mergeCell ref="G721:G723"/>
    <mergeCell ref="B724:B726"/>
    <mergeCell ref="C724:C726"/>
    <mergeCell ref="D724:D726"/>
    <mergeCell ref="E724:E726"/>
    <mergeCell ref="F724:F726"/>
    <mergeCell ref="G724:G726"/>
    <mergeCell ref="B716:B718"/>
    <mergeCell ref="C716:C718"/>
    <mergeCell ref="D716:D718"/>
    <mergeCell ref="E716:E718"/>
    <mergeCell ref="F716:F718"/>
    <mergeCell ref="G716:G718"/>
    <mergeCell ref="B719:B720"/>
    <mergeCell ref="C719:C720"/>
    <mergeCell ref="D719:D720"/>
    <mergeCell ref="E719:E720"/>
    <mergeCell ref="F719:F720"/>
    <mergeCell ref="G719:G720"/>
    <mergeCell ref="B714:B715"/>
    <mergeCell ref="C714:C715"/>
    <mergeCell ref="D714:D715"/>
    <mergeCell ref="E714:E715"/>
    <mergeCell ref="F714:F715"/>
    <mergeCell ref="G714:G715"/>
    <mergeCell ref="A712:A713"/>
    <mergeCell ref="B712:D712"/>
    <mergeCell ref="E712:G712"/>
    <mergeCell ref="E704:E705"/>
    <mergeCell ref="F704:F705"/>
    <mergeCell ref="G704:G705"/>
    <mergeCell ref="B706:B709"/>
    <mergeCell ref="C706:C709"/>
    <mergeCell ref="D706:D709"/>
    <mergeCell ref="E706:E709"/>
    <mergeCell ref="F706:F709"/>
    <mergeCell ref="G706:G709"/>
    <mergeCell ref="B624:B625"/>
    <mergeCell ref="C624:C625"/>
    <mergeCell ref="D624:D625"/>
    <mergeCell ref="E700:E701"/>
    <mergeCell ref="F700:F701"/>
    <mergeCell ref="G700:G701"/>
    <mergeCell ref="B702:B703"/>
    <mergeCell ref="C702:C703"/>
    <mergeCell ref="D702:D703"/>
    <mergeCell ref="E702:E703"/>
    <mergeCell ref="F702:F703"/>
    <mergeCell ref="G702:G703"/>
    <mergeCell ref="E624:E625"/>
    <mergeCell ref="F624:F625"/>
    <mergeCell ref="G624:G625"/>
    <mergeCell ref="A650:A651"/>
    <mergeCell ref="B650:D650"/>
    <mergeCell ref="E650:G650"/>
    <mergeCell ref="A681:A682"/>
    <mergeCell ref="B681:D681"/>
    <mergeCell ref="E681:G681"/>
    <mergeCell ref="B643:B644"/>
    <mergeCell ref="C643:C644"/>
    <mergeCell ref="D643:D644"/>
    <mergeCell ref="E643:E644"/>
    <mergeCell ref="F643:F644"/>
    <mergeCell ref="G643:G644"/>
    <mergeCell ref="B654:B655"/>
    <mergeCell ref="C654:C655"/>
    <mergeCell ref="D654:D655"/>
    <mergeCell ref="E654:E655"/>
    <mergeCell ref="F654:F655"/>
    <mergeCell ref="G654:G655"/>
    <mergeCell ref="B569:B570"/>
    <mergeCell ref="C569:C570"/>
    <mergeCell ref="D569:D570"/>
    <mergeCell ref="E569:E570"/>
    <mergeCell ref="F569:F570"/>
    <mergeCell ref="G569:G570"/>
    <mergeCell ref="A619:A620"/>
    <mergeCell ref="B619:D619"/>
    <mergeCell ref="E619:G619"/>
    <mergeCell ref="B575:B576"/>
    <mergeCell ref="C575:C576"/>
    <mergeCell ref="D575:D576"/>
    <mergeCell ref="E575:E576"/>
    <mergeCell ref="F575:F576"/>
    <mergeCell ref="G575:G576"/>
    <mergeCell ref="A588:A589"/>
    <mergeCell ref="B588:D588"/>
    <mergeCell ref="E588:G588"/>
    <mergeCell ref="B579:B581"/>
    <mergeCell ref="C579:C581"/>
    <mergeCell ref="D579:D581"/>
    <mergeCell ref="E579:E581"/>
    <mergeCell ref="F579:F581"/>
    <mergeCell ref="G579:G581"/>
    <mergeCell ref="B563:B564"/>
    <mergeCell ref="C563:C564"/>
    <mergeCell ref="D563:D564"/>
    <mergeCell ref="E563:E564"/>
    <mergeCell ref="F563:F564"/>
    <mergeCell ref="G563:G564"/>
    <mergeCell ref="B565:B566"/>
    <mergeCell ref="C565:C566"/>
    <mergeCell ref="D565:D566"/>
    <mergeCell ref="E565:E566"/>
    <mergeCell ref="F565:F566"/>
    <mergeCell ref="G565:G566"/>
    <mergeCell ref="B431:B432"/>
    <mergeCell ref="C431:C432"/>
    <mergeCell ref="D431:D432"/>
    <mergeCell ref="E431:E432"/>
    <mergeCell ref="F431:F432"/>
    <mergeCell ref="G431:G432"/>
    <mergeCell ref="B438:B439"/>
    <mergeCell ref="C438:C439"/>
    <mergeCell ref="D438:D439"/>
    <mergeCell ref="E438:E439"/>
    <mergeCell ref="F438:F439"/>
    <mergeCell ref="G438:G439"/>
    <mergeCell ref="B436:B437"/>
    <mergeCell ref="C436:C437"/>
    <mergeCell ref="D436:D437"/>
    <mergeCell ref="E436:E437"/>
    <mergeCell ref="F436:F437"/>
    <mergeCell ref="G436:G437"/>
    <mergeCell ref="A278:A279"/>
    <mergeCell ref="B278:D278"/>
    <mergeCell ref="E278:G278"/>
    <mergeCell ref="A309:A310"/>
    <mergeCell ref="B309:D309"/>
    <mergeCell ref="E309:G309"/>
    <mergeCell ref="A340:A341"/>
    <mergeCell ref="B340:D340"/>
    <mergeCell ref="E340:G340"/>
    <mergeCell ref="B323:B324"/>
    <mergeCell ref="C323:C324"/>
    <mergeCell ref="D323:D324"/>
    <mergeCell ref="E323:E324"/>
    <mergeCell ref="F323:F324"/>
    <mergeCell ref="G323:G324"/>
    <mergeCell ref="B291:B292"/>
    <mergeCell ref="C291:C292"/>
    <mergeCell ref="D291:D292"/>
    <mergeCell ref="E291:E292"/>
    <mergeCell ref="F291:F292"/>
    <mergeCell ref="G291:G292"/>
    <mergeCell ref="A402:A403"/>
    <mergeCell ref="B402:D402"/>
    <mergeCell ref="E402:G402"/>
    <mergeCell ref="B383:B384"/>
    <mergeCell ref="C383:C384"/>
    <mergeCell ref="D383:D384"/>
    <mergeCell ref="E383:E384"/>
    <mergeCell ref="F383:F384"/>
    <mergeCell ref="G383:G384"/>
    <mergeCell ref="A371:A372"/>
    <mergeCell ref="B371:D371"/>
    <mergeCell ref="E371:G371"/>
    <mergeCell ref="B378:B379"/>
    <mergeCell ref="C378:C379"/>
    <mergeCell ref="D378:D379"/>
    <mergeCell ref="E378:E379"/>
    <mergeCell ref="F378:F379"/>
    <mergeCell ref="G378:G379"/>
    <mergeCell ref="B15:B17"/>
    <mergeCell ref="C15:C17"/>
    <mergeCell ref="D15:D17"/>
    <mergeCell ref="E15:E17"/>
    <mergeCell ref="F15:F17"/>
    <mergeCell ref="G15:G17"/>
    <mergeCell ref="B269:B270"/>
    <mergeCell ref="C269:C270"/>
    <mergeCell ref="D269:D270"/>
    <mergeCell ref="E269:E270"/>
    <mergeCell ref="F269:F270"/>
    <mergeCell ref="G269:G270"/>
    <mergeCell ref="B260:B261"/>
    <mergeCell ref="C260:C261"/>
    <mergeCell ref="D260:D261"/>
    <mergeCell ref="E260:E261"/>
    <mergeCell ref="F260:F261"/>
    <mergeCell ref="G260:G261"/>
    <mergeCell ref="G34:G35"/>
    <mergeCell ref="G48:G49"/>
    <mergeCell ref="B43:B44"/>
    <mergeCell ref="C43:C44"/>
    <mergeCell ref="D43:D44"/>
    <mergeCell ref="E43:E44"/>
    <mergeCell ref="B271:B272"/>
    <mergeCell ref="C271:C272"/>
    <mergeCell ref="D271:D272"/>
    <mergeCell ref="E271:E272"/>
    <mergeCell ref="F271:F272"/>
    <mergeCell ref="G271:G272"/>
    <mergeCell ref="B262:B263"/>
    <mergeCell ref="C262:C263"/>
    <mergeCell ref="D262:D263"/>
    <mergeCell ref="E262:E263"/>
    <mergeCell ref="F262:F263"/>
    <mergeCell ref="G262:G263"/>
    <mergeCell ref="B266:B267"/>
    <mergeCell ref="C266:C267"/>
    <mergeCell ref="D266:D267"/>
    <mergeCell ref="E266:E267"/>
    <mergeCell ref="F266:F267"/>
    <mergeCell ref="G266:G267"/>
    <mergeCell ref="A92:A93"/>
    <mergeCell ref="B92:D92"/>
    <mergeCell ref="E92:G92"/>
    <mergeCell ref="E185:G185"/>
    <mergeCell ref="A216:A217"/>
    <mergeCell ref="B216:D216"/>
    <mergeCell ref="E216:G216"/>
    <mergeCell ref="A185:A186"/>
    <mergeCell ref="B185:D185"/>
    <mergeCell ref="B194:B195"/>
    <mergeCell ref="C194:C195"/>
    <mergeCell ref="D194:D195"/>
    <mergeCell ref="E194:E195"/>
    <mergeCell ref="F194:F195"/>
    <mergeCell ref="G194:G195"/>
    <mergeCell ref="B115:B116"/>
    <mergeCell ref="C115:C116"/>
    <mergeCell ref="D115:D116"/>
    <mergeCell ref="E115:E116"/>
    <mergeCell ref="F115:F116"/>
    <mergeCell ref="G115:G116"/>
    <mergeCell ref="C181:C182"/>
    <mergeCell ref="D181:D182"/>
    <mergeCell ref="E181:E182"/>
    <mergeCell ref="A247:A248"/>
    <mergeCell ref="B247:D247"/>
    <mergeCell ref="E247:G247"/>
    <mergeCell ref="B117:B118"/>
    <mergeCell ref="C117:C118"/>
    <mergeCell ref="D117:D118"/>
    <mergeCell ref="E117:E118"/>
    <mergeCell ref="F117:F118"/>
    <mergeCell ref="G117:G118"/>
    <mergeCell ref="C191:C192"/>
    <mergeCell ref="D191:D192"/>
    <mergeCell ref="E191:E192"/>
    <mergeCell ref="F191:F192"/>
    <mergeCell ref="G191:G192"/>
    <mergeCell ref="B200:B201"/>
    <mergeCell ref="C200:C201"/>
    <mergeCell ref="D200:D201"/>
    <mergeCell ref="E200:E201"/>
    <mergeCell ref="F200:F201"/>
    <mergeCell ref="G200:G201"/>
    <mergeCell ref="B191:B192"/>
    <mergeCell ref="F159:F160"/>
    <mergeCell ref="G159:G160"/>
    <mergeCell ref="B181:B182"/>
    <mergeCell ref="F181:F182"/>
    <mergeCell ref="G181:G182"/>
    <mergeCell ref="B164:B165"/>
    <mergeCell ref="C164:C165"/>
    <mergeCell ref="D164:D165"/>
    <mergeCell ref="E164:E165"/>
    <mergeCell ref="F164:F165"/>
    <mergeCell ref="G164:G165"/>
    <mergeCell ref="B159:B160"/>
    <mergeCell ref="C159:C160"/>
    <mergeCell ref="D159:D160"/>
    <mergeCell ref="E159:E160"/>
    <mergeCell ref="B162:B163"/>
    <mergeCell ref="C162:C163"/>
    <mergeCell ref="D162:D163"/>
    <mergeCell ref="E162:E163"/>
    <mergeCell ref="F162:F163"/>
    <mergeCell ref="G162:G163"/>
    <mergeCell ref="G43:G44"/>
    <mergeCell ref="B63:B64"/>
    <mergeCell ref="C63:C64"/>
    <mergeCell ref="D63:D64"/>
    <mergeCell ref="E63:E64"/>
    <mergeCell ref="F63:F64"/>
    <mergeCell ref="G63:G64"/>
    <mergeCell ref="B69:B70"/>
    <mergeCell ref="C69:C70"/>
    <mergeCell ref="D69:D70"/>
    <mergeCell ref="E69:E70"/>
    <mergeCell ref="F69:F70"/>
    <mergeCell ref="G69:G70"/>
    <mergeCell ref="B50:B51"/>
    <mergeCell ref="C50:C51"/>
    <mergeCell ref="D50:D51"/>
    <mergeCell ref="E50:E51"/>
    <mergeCell ref="F50:F51"/>
    <mergeCell ref="G50:G51"/>
    <mergeCell ref="B52:B53"/>
    <mergeCell ref="C52:C53"/>
    <mergeCell ref="D52:D53"/>
    <mergeCell ref="E52:E53"/>
    <mergeCell ref="F52:F53"/>
    <mergeCell ref="D18:D19"/>
    <mergeCell ref="E18:E19"/>
    <mergeCell ref="B48:B49"/>
    <mergeCell ref="C48:C49"/>
    <mergeCell ref="D48:D49"/>
    <mergeCell ref="E48:E49"/>
    <mergeCell ref="F48:F49"/>
    <mergeCell ref="F18:F19"/>
    <mergeCell ref="F43:F44"/>
    <mergeCell ref="B34:B35"/>
    <mergeCell ref="C34:C35"/>
    <mergeCell ref="D34:D35"/>
    <mergeCell ref="E34:E35"/>
    <mergeCell ref="F34:F35"/>
    <mergeCell ref="F12:F13"/>
    <mergeCell ref="G12:G13"/>
    <mergeCell ref="B12:B13"/>
    <mergeCell ref="C12:C13"/>
    <mergeCell ref="D12:D13"/>
    <mergeCell ref="E12:E13"/>
    <mergeCell ref="A1:G1"/>
    <mergeCell ref="A2:G2"/>
    <mergeCell ref="A3:G3"/>
    <mergeCell ref="A4:G4"/>
    <mergeCell ref="A5:A6"/>
    <mergeCell ref="B5:D5"/>
    <mergeCell ref="E5:G5"/>
    <mergeCell ref="A526:A527"/>
    <mergeCell ref="B526:D526"/>
    <mergeCell ref="E526:G526"/>
    <mergeCell ref="G18:G19"/>
    <mergeCell ref="B428:B429"/>
    <mergeCell ref="C428:C429"/>
    <mergeCell ref="D428:D429"/>
    <mergeCell ref="E428:E429"/>
    <mergeCell ref="F428:F429"/>
    <mergeCell ref="G428:G429"/>
    <mergeCell ref="A433:A434"/>
    <mergeCell ref="B433:D433"/>
    <mergeCell ref="E433:G433"/>
    <mergeCell ref="B316:B317"/>
    <mergeCell ref="C316:C317"/>
    <mergeCell ref="D316:D317"/>
    <mergeCell ref="E316:E317"/>
    <mergeCell ref="F316:F317"/>
    <mergeCell ref="G316:G317"/>
    <mergeCell ref="A30:A31"/>
    <mergeCell ref="B30:D30"/>
    <mergeCell ref="E30:G30"/>
    <mergeCell ref="B18:B19"/>
    <mergeCell ref="C18:C19"/>
    <mergeCell ref="B1044:B1045"/>
    <mergeCell ref="C1044:C1045"/>
    <mergeCell ref="D1044:D1045"/>
    <mergeCell ref="E1044:E1045"/>
    <mergeCell ref="F1044:F1045"/>
    <mergeCell ref="G1044:G1045"/>
    <mergeCell ref="E970:E971"/>
    <mergeCell ref="F970:F971"/>
    <mergeCell ref="G970:G971"/>
    <mergeCell ref="B973:B974"/>
    <mergeCell ref="C973:C974"/>
    <mergeCell ref="D973:D974"/>
    <mergeCell ref="E973:E974"/>
    <mergeCell ref="F973:F974"/>
    <mergeCell ref="G973:G974"/>
    <mergeCell ref="B970:B971"/>
    <mergeCell ref="C970:C971"/>
    <mergeCell ref="D970:D971"/>
    <mergeCell ref="B977:B978"/>
    <mergeCell ref="C977:C978"/>
    <mergeCell ref="D977:D978"/>
    <mergeCell ref="E977:E978"/>
    <mergeCell ref="F977:F978"/>
    <mergeCell ref="G977:G978"/>
    <mergeCell ref="B1048:B1049"/>
    <mergeCell ref="C1048:C1049"/>
    <mergeCell ref="D1048:D1049"/>
    <mergeCell ref="E1048:E1049"/>
    <mergeCell ref="F1048:F1049"/>
    <mergeCell ref="G1048:G1049"/>
    <mergeCell ref="B1108:B1109"/>
    <mergeCell ref="C1108:C1109"/>
    <mergeCell ref="D1108:D1109"/>
    <mergeCell ref="E1108:E1109"/>
    <mergeCell ref="F1108:F1109"/>
    <mergeCell ref="G1108:G1109"/>
    <mergeCell ref="B1075:B1077"/>
    <mergeCell ref="C1075:C1077"/>
    <mergeCell ref="D1075:D1077"/>
    <mergeCell ref="E1075:E1077"/>
    <mergeCell ref="F1075:F1077"/>
    <mergeCell ref="G1075:G1077"/>
    <mergeCell ref="B1078:B1080"/>
    <mergeCell ref="C1078:C1080"/>
    <mergeCell ref="D1078:D1080"/>
    <mergeCell ref="E1078:E1080"/>
    <mergeCell ref="F1078:F1080"/>
    <mergeCell ref="G1078:G1080"/>
    <mergeCell ref="B1111:B1112"/>
    <mergeCell ref="C1111:C1112"/>
    <mergeCell ref="D1111:D1112"/>
    <mergeCell ref="E1111:E1112"/>
    <mergeCell ref="F1111:F1112"/>
    <mergeCell ref="G1111:G1112"/>
    <mergeCell ref="B1113:B1114"/>
    <mergeCell ref="C1113:C1114"/>
    <mergeCell ref="D1113:D1114"/>
    <mergeCell ref="E1113:E1114"/>
    <mergeCell ref="F1113:F1114"/>
    <mergeCell ref="G1113:G1114"/>
    <mergeCell ref="A495:A496"/>
    <mergeCell ref="B495:D495"/>
    <mergeCell ref="E495:G495"/>
    <mergeCell ref="B454:B455"/>
    <mergeCell ref="C454:C455"/>
    <mergeCell ref="D454:D455"/>
    <mergeCell ref="E454:E455"/>
    <mergeCell ref="F454:F455"/>
    <mergeCell ref="G454:G455"/>
    <mergeCell ref="A464:A465"/>
    <mergeCell ref="B464:D464"/>
    <mergeCell ref="E464:G464"/>
    <mergeCell ref="B484:B485"/>
    <mergeCell ref="C484:C485"/>
    <mergeCell ref="D484:D485"/>
    <mergeCell ref="E484:E485"/>
    <mergeCell ref="F484:F485"/>
    <mergeCell ref="G484:G485"/>
    <mergeCell ref="B543:B544"/>
    <mergeCell ref="C543:C544"/>
    <mergeCell ref="D543:D544"/>
    <mergeCell ref="E543:E544"/>
    <mergeCell ref="F543:F544"/>
    <mergeCell ref="G543:G544"/>
    <mergeCell ref="B499:B500"/>
    <mergeCell ref="C499:C500"/>
    <mergeCell ref="D499:D500"/>
    <mergeCell ref="E499:E500"/>
    <mergeCell ref="F499:F500"/>
    <mergeCell ref="G499:G500"/>
    <mergeCell ref="A557:A558"/>
    <mergeCell ref="B557:D557"/>
    <mergeCell ref="E557:G557"/>
    <mergeCell ref="B546:B547"/>
    <mergeCell ref="C546:C547"/>
    <mergeCell ref="D546:D547"/>
    <mergeCell ref="E546:E547"/>
    <mergeCell ref="F546:F547"/>
    <mergeCell ref="G546:G547"/>
    <mergeCell ref="B548:B549"/>
    <mergeCell ref="C548:C549"/>
    <mergeCell ref="D548:D549"/>
    <mergeCell ref="E548:E549"/>
    <mergeCell ref="F548:F549"/>
    <mergeCell ref="G548:G549"/>
    <mergeCell ref="B552:B553"/>
    <mergeCell ref="C552:C553"/>
    <mergeCell ref="D552:D553"/>
    <mergeCell ref="E552:E553"/>
    <mergeCell ref="F552:F553"/>
    <mergeCell ref="G552:G553"/>
    <mergeCell ref="B607:B608"/>
    <mergeCell ref="C607:C608"/>
    <mergeCell ref="D607:D608"/>
    <mergeCell ref="E607:E608"/>
    <mergeCell ref="F607:F608"/>
    <mergeCell ref="G607:G608"/>
    <mergeCell ref="B602:B603"/>
    <mergeCell ref="C602:C603"/>
    <mergeCell ref="D602:D603"/>
    <mergeCell ref="E602:E603"/>
    <mergeCell ref="F602:F603"/>
    <mergeCell ref="G602:G603"/>
    <mergeCell ref="B731:B733"/>
    <mergeCell ref="C731:C733"/>
    <mergeCell ref="D731:D733"/>
    <mergeCell ref="E731:E733"/>
    <mergeCell ref="F731:F733"/>
    <mergeCell ref="G731:G733"/>
    <mergeCell ref="B696:B697"/>
    <mergeCell ref="C696:C697"/>
    <mergeCell ref="D696:D697"/>
    <mergeCell ref="E696:E697"/>
    <mergeCell ref="F696:F697"/>
    <mergeCell ref="G696:G697"/>
    <mergeCell ref="B698:B699"/>
    <mergeCell ref="C698:C699"/>
    <mergeCell ref="D698:D699"/>
    <mergeCell ref="E698:E699"/>
    <mergeCell ref="F698:F699"/>
    <mergeCell ref="G698:G699"/>
    <mergeCell ref="B700:B701"/>
    <mergeCell ref="C700:C701"/>
    <mergeCell ref="D700:D701"/>
    <mergeCell ref="B704:B705"/>
    <mergeCell ref="C704:C705"/>
    <mergeCell ref="D704:D705"/>
    <mergeCell ref="E737:E739"/>
    <mergeCell ref="F737:F739"/>
    <mergeCell ref="G737:G739"/>
    <mergeCell ref="E788:E789"/>
    <mergeCell ref="F788:F789"/>
    <mergeCell ref="G788:G789"/>
    <mergeCell ref="B786:B787"/>
    <mergeCell ref="C786:C787"/>
    <mergeCell ref="D786:D787"/>
    <mergeCell ref="E786:E787"/>
    <mergeCell ref="F786:F787"/>
    <mergeCell ref="G786:G787"/>
    <mergeCell ref="B754:B755"/>
    <mergeCell ref="C754:C755"/>
    <mergeCell ref="D754:D755"/>
    <mergeCell ref="E754:E755"/>
    <mergeCell ref="F754:F755"/>
    <mergeCell ref="G754:G755"/>
    <mergeCell ref="B759:B760"/>
    <mergeCell ref="C759:C760"/>
    <mergeCell ref="D759:D760"/>
    <mergeCell ref="B765:B766"/>
    <mergeCell ref="C765:C766"/>
    <mergeCell ref="D765:D766"/>
    <mergeCell ref="B820:B822"/>
    <mergeCell ref="C820:C822"/>
    <mergeCell ref="D820:D822"/>
    <mergeCell ref="E820:E822"/>
    <mergeCell ref="F820:F822"/>
    <mergeCell ref="G820:G822"/>
    <mergeCell ref="B830:B831"/>
    <mergeCell ref="C830:C831"/>
    <mergeCell ref="D830:D831"/>
    <mergeCell ref="E830:E831"/>
    <mergeCell ref="F830:F831"/>
    <mergeCell ref="G830:G831"/>
    <mergeCell ref="B824:B825"/>
    <mergeCell ref="C824:C825"/>
    <mergeCell ref="D824:D825"/>
    <mergeCell ref="E824:E825"/>
    <mergeCell ref="F824:F825"/>
    <mergeCell ref="G824:G825"/>
    <mergeCell ref="A836:A837"/>
    <mergeCell ref="B836:D836"/>
    <mergeCell ref="E836:G836"/>
    <mergeCell ref="B857:B858"/>
    <mergeCell ref="C857:C858"/>
    <mergeCell ref="D857:D858"/>
    <mergeCell ref="E857:E858"/>
    <mergeCell ref="F857:F858"/>
    <mergeCell ref="G857:G858"/>
    <mergeCell ref="B889:B890"/>
    <mergeCell ref="C889:C890"/>
    <mergeCell ref="D889:D890"/>
    <mergeCell ref="E889:E890"/>
    <mergeCell ref="F889:F890"/>
    <mergeCell ref="G889:G890"/>
    <mergeCell ref="B903:B904"/>
    <mergeCell ref="C903:C904"/>
    <mergeCell ref="D903:D904"/>
    <mergeCell ref="E903:E904"/>
    <mergeCell ref="F903:F904"/>
    <mergeCell ref="G903:G904"/>
    <mergeCell ref="A929:A930"/>
    <mergeCell ref="B929:D929"/>
    <mergeCell ref="E929:G929"/>
    <mergeCell ref="B917:B918"/>
    <mergeCell ref="C917:C918"/>
    <mergeCell ref="D917:D918"/>
    <mergeCell ref="E917:E918"/>
    <mergeCell ref="F917:F918"/>
    <mergeCell ref="G917:G918"/>
    <mergeCell ref="B957:B958"/>
    <mergeCell ref="C957:C958"/>
    <mergeCell ref="D957:D958"/>
    <mergeCell ref="E957:E958"/>
    <mergeCell ref="F957:F958"/>
    <mergeCell ref="G957:G958"/>
    <mergeCell ref="B962:B963"/>
    <mergeCell ref="C962:C963"/>
    <mergeCell ref="D962:D963"/>
    <mergeCell ref="E962:E963"/>
    <mergeCell ref="F962:F963"/>
    <mergeCell ref="G962:G963"/>
    <mergeCell ref="E964:E965"/>
    <mergeCell ref="F964:F965"/>
    <mergeCell ref="G964:G965"/>
    <mergeCell ref="B975:B976"/>
    <mergeCell ref="C975:C976"/>
    <mergeCell ref="D975:D976"/>
    <mergeCell ref="E975:E976"/>
    <mergeCell ref="F975:F976"/>
    <mergeCell ref="G975:G976"/>
    <mergeCell ref="B979:B980"/>
    <mergeCell ref="C979:C980"/>
    <mergeCell ref="D979:D980"/>
    <mergeCell ref="E979:E980"/>
    <mergeCell ref="F979:F980"/>
    <mergeCell ref="G979:G980"/>
    <mergeCell ref="B981:B982"/>
    <mergeCell ref="C981:C982"/>
    <mergeCell ref="D981:D982"/>
    <mergeCell ref="E981:E982"/>
    <mergeCell ref="F981:F982"/>
    <mergeCell ref="G981:G982"/>
    <mergeCell ref="B1027:B1028"/>
    <mergeCell ref="C1027:C1028"/>
    <mergeCell ref="D1027:D1028"/>
    <mergeCell ref="E1027:E1028"/>
    <mergeCell ref="F1027:F1028"/>
    <mergeCell ref="G1027:G1028"/>
    <mergeCell ref="A991:A992"/>
    <mergeCell ref="B991:D991"/>
    <mergeCell ref="E991:G991"/>
    <mergeCell ref="A1022:A1023"/>
    <mergeCell ref="B1022:D1022"/>
    <mergeCell ref="E1022:G1022"/>
    <mergeCell ref="E1065:E1066"/>
    <mergeCell ref="F1065:F1066"/>
    <mergeCell ref="G1065:G1066"/>
    <mergeCell ref="C1062:C1064"/>
    <mergeCell ref="B1062:B1064"/>
    <mergeCell ref="D1062:D1064"/>
    <mergeCell ref="E1062:E1064"/>
    <mergeCell ref="F1062:F1064"/>
    <mergeCell ref="G1062:G1064"/>
    <mergeCell ref="B1067:B1069"/>
    <mergeCell ref="C1067:C1069"/>
    <mergeCell ref="D1067:D1069"/>
    <mergeCell ref="E1067:E1069"/>
    <mergeCell ref="F1067:F1069"/>
    <mergeCell ref="G1067:G1069"/>
    <mergeCell ref="B1070:B1072"/>
    <mergeCell ref="C1070:C1072"/>
    <mergeCell ref="D1070:D1072"/>
    <mergeCell ref="E1070:E1072"/>
    <mergeCell ref="F1070:F1072"/>
    <mergeCell ref="G1070:G1072"/>
    <mergeCell ref="B1073:B1074"/>
    <mergeCell ref="C1073:C1074"/>
    <mergeCell ref="D1073:D1074"/>
    <mergeCell ref="E1073:E1074"/>
    <mergeCell ref="F1073:F1074"/>
    <mergeCell ref="G1073:G1074"/>
    <mergeCell ref="B1101:B1102"/>
    <mergeCell ref="C1101:C1102"/>
    <mergeCell ref="D1101:D1102"/>
    <mergeCell ref="E1101:E1102"/>
    <mergeCell ref="F1101:F1102"/>
    <mergeCell ref="G1101:G1102"/>
    <mergeCell ref="G52:G53"/>
    <mergeCell ref="B54:B56"/>
    <mergeCell ref="C54:C56"/>
    <mergeCell ref="D54:D56"/>
    <mergeCell ref="E54:E56"/>
    <mergeCell ref="F54:F56"/>
    <mergeCell ref="G54:G56"/>
    <mergeCell ref="A61:A62"/>
    <mergeCell ref="B61:D61"/>
    <mergeCell ref="E61:G61"/>
    <mergeCell ref="A154:A155"/>
    <mergeCell ref="B154:D154"/>
    <mergeCell ref="E154:G154"/>
    <mergeCell ref="B65:B68"/>
    <mergeCell ref="C65:C68"/>
    <mergeCell ref="D65:D68"/>
    <mergeCell ref="E65:E68"/>
    <mergeCell ref="F65:F68"/>
    <mergeCell ref="G65:G68"/>
    <mergeCell ref="A123:A124"/>
    <mergeCell ref="B123:D123"/>
    <mergeCell ref="E123:G123"/>
    <mergeCell ref="B71:B73"/>
    <mergeCell ref="C71:C73"/>
    <mergeCell ref="D71:D73"/>
    <mergeCell ref="E71:E73"/>
    <mergeCell ref="F71:F73"/>
    <mergeCell ref="G71:G73"/>
    <mergeCell ref="B74:B76"/>
    <mergeCell ref="C74:C76"/>
    <mergeCell ref="D74:D76"/>
    <mergeCell ref="E74:E76"/>
    <mergeCell ref="F74:F76"/>
    <mergeCell ref="G74:G76"/>
  </mergeCells>
  <pageMargins left="0.51181102362204722" right="0.51181102362204722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M1092"/>
  <sheetViews>
    <sheetView tabSelected="1" view="pageBreakPreview" topLeftCell="A325" zoomScaleSheetLayoutView="100" workbookViewId="0">
      <selection activeCell="I324" sqref="I324"/>
    </sheetView>
  </sheetViews>
  <sheetFormatPr defaultRowHeight="14.25"/>
  <cols>
    <col min="1" max="1" width="41" customWidth="1"/>
    <col min="2" max="5" width="15.625" customWidth="1"/>
    <col min="6" max="6" width="8.625" customWidth="1"/>
    <col min="7" max="7" width="15.625" customWidth="1"/>
  </cols>
  <sheetData>
    <row r="3" spans="1:13" ht="24">
      <c r="A3" s="217" t="s">
        <v>0</v>
      </c>
      <c r="B3" s="217"/>
      <c r="C3" s="217"/>
      <c r="D3" s="217"/>
      <c r="E3" s="217"/>
      <c r="F3" s="217"/>
      <c r="G3" s="217"/>
      <c r="H3" s="1"/>
      <c r="I3" s="1"/>
      <c r="J3" s="1"/>
      <c r="K3" s="1"/>
      <c r="L3" s="1"/>
      <c r="M3" s="1"/>
    </row>
    <row r="4" spans="1:13" ht="24">
      <c r="A4" s="217" t="s">
        <v>416</v>
      </c>
      <c r="B4" s="217"/>
      <c r="C4" s="217"/>
      <c r="D4" s="217"/>
      <c r="E4" s="217"/>
      <c r="F4" s="217"/>
      <c r="G4" s="217"/>
      <c r="H4" s="1"/>
      <c r="I4" s="1"/>
      <c r="J4" s="1"/>
      <c r="K4" s="1"/>
      <c r="L4" s="1"/>
      <c r="M4" s="1"/>
    </row>
    <row r="5" spans="1:13" ht="24">
      <c r="A5" s="217" t="s">
        <v>1</v>
      </c>
      <c r="B5" s="217"/>
      <c r="C5" s="217"/>
      <c r="D5" s="217"/>
      <c r="E5" s="217"/>
      <c r="F5" s="217"/>
      <c r="G5" s="217"/>
      <c r="H5" s="1"/>
      <c r="I5" s="1"/>
      <c r="J5" s="1"/>
      <c r="K5" s="1"/>
      <c r="L5" s="1"/>
      <c r="M5" s="1"/>
    </row>
    <row r="6" spans="1:13" ht="24">
      <c r="A6" s="217" t="s">
        <v>2</v>
      </c>
      <c r="B6" s="217"/>
      <c r="C6" s="217"/>
      <c r="D6" s="217"/>
      <c r="E6" s="217"/>
      <c r="F6" s="217"/>
      <c r="G6" s="217"/>
      <c r="H6" s="1"/>
      <c r="I6" s="1"/>
      <c r="J6" s="1"/>
      <c r="K6" s="1"/>
      <c r="L6" s="1"/>
      <c r="M6" s="1"/>
    </row>
    <row r="7" spans="1:13" s="34" customFormat="1" ht="17.25">
      <c r="A7" s="218"/>
      <c r="B7" s="221" t="s">
        <v>671</v>
      </c>
      <c r="C7" s="219"/>
      <c r="D7" s="220"/>
      <c r="E7" s="221" t="s">
        <v>4</v>
      </c>
      <c r="F7" s="219"/>
      <c r="G7" s="220"/>
      <c r="H7" s="33"/>
      <c r="I7" s="33"/>
      <c r="J7" s="33"/>
      <c r="K7" s="33"/>
      <c r="L7" s="33"/>
      <c r="M7" s="33"/>
    </row>
    <row r="8" spans="1:13" s="34" customFormat="1" ht="17.25">
      <c r="A8" s="212"/>
      <c r="B8" s="178" t="s">
        <v>6</v>
      </c>
      <c r="C8" s="163" t="s">
        <v>7</v>
      </c>
      <c r="D8" s="162" t="s">
        <v>9</v>
      </c>
      <c r="E8" s="162" t="s">
        <v>417</v>
      </c>
      <c r="F8" s="178" t="s">
        <v>8</v>
      </c>
      <c r="G8" s="162" t="s">
        <v>582</v>
      </c>
      <c r="H8" s="33"/>
      <c r="I8" s="33"/>
      <c r="J8" s="33"/>
      <c r="K8" s="33"/>
      <c r="L8" s="33"/>
      <c r="M8" s="33"/>
    </row>
    <row r="9" spans="1:13" s="7" customFormat="1" ht="17.25">
      <c r="A9" s="11" t="s">
        <v>10</v>
      </c>
      <c r="B9" s="8"/>
      <c r="C9" s="8"/>
      <c r="D9" s="10"/>
      <c r="E9" s="10"/>
      <c r="F9" s="8"/>
      <c r="G9" s="10"/>
      <c r="H9" s="1"/>
      <c r="I9" s="1"/>
      <c r="J9" s="1"/>
      <c r="K9" s="1"/>
      <c r="L9" s="1"/>
      <c r="M9" s="1"/>
    </row>
    <row r="10" spans="1:13" s="7" customFormat="1" ht="17.25">
      <c r="A10" s="12" t="s">
        <v>11</v>
      </c>
      <c r="B10" s="5"/>
      <c r="C10" s="5"/>
      <c r="D10" s="3"/>
      <c r="E10" s="3"/>
      <c r="F10" s="5"/>
      <c r="G10" s="3"/>
      <c r="H10" s="1"/>
      <c r="I10" s="1"/>
      <c r="J10" s="1"/>
      <c r="K10" s="1"/>
      <c r="L10" s="1"/>
      <c r="M10" s="1"/>
    </row>
    <row r="11" spans="1:13" s="7" customFormat="1" ht="17.25">
      <c r="A11" s="11" t="s">
        <v>12</v>
      </c>
      <c r="B11" s="8"/>
      <c r="C11" s="8"/>
      <c r="D11" s="10"/>
      <c r="E11" s="10"/>
      <c r="F11" s="8"/>
      <c r="G11" s="10"/>
      <c r="H11" s="1"/>
      <c r="I11" s="1"/>
      <c r="J11" s="1"/>
      <c r="K11" s="1"/>
      <c r="L11" s="1"/>
      <c r="M11" s="1"/>
    </row>
    <row r="12" spans="1:13" s="7" customFormat="1" ht="17.25">
      <c r="A12" s="12" t="s">
        <v>13</v>
      </c>
      <c r="B12" s="5"/>
      <c r="C12" s="5"/>
      <c r="D12" s="3"/>
      <c r="E12" s="3"/>
      <c r="F12" s="5"/>
      <c r="G12" s="3"/>
      <c r="H12" s="1"/>
      <c r="I12" s="1"/>
      <c r="J12" s="1"/>
      <c r="K12" s="1"/>
      <c r="L12" s="1"/>
      <c r="M12" s="1"/>
    </row>
    <row r="13" spans="1:13" s="7" customFormat="1" ht="17.25">
      <c r="A13" s="8" t="s">
        <v>14</v>
      </c>
      <c r="B13" s="56">
        <v>695520</v>
      </c>
      <c r="C13" s="56">
        <v>695520</v>
      </c>
      <c r="D13" s="54">
        <v>695520</v>
      </c>
      <c r="E13" s="54">
        <v>695600</v>
      </c>
      <c r="F13" s="59">
        <v>0</v>
      </c>
      <c r="G13" s="54">
        <v>695600</v>
      </c>
      <c r="H13" s="1"/>
      <c r="I13" s="1"/>
      <c r="J13" s="1"/>
      <c r="K13" s="1"/>
      <c r="L13" s="1"/>
      <c r="M13" s="1"/>
    </row>
    <row r="14" spans="1:13" s="7" customFormat="1" ht="17.25">
      <c r="A14" s="13" t="s">
        <v>15</v>
      </c>
      <c r="B14" s="200">
        <v>120000</v>
      </c>
      <c r="C14" s="200">
        <v>120000</v>
      </c>
      <c r="D14" s="215">
        <v>120000</v>
      </c>
      <c r="E14" s="200">
        <v>120000</v>
      </c>
      <c r="F14" s="203">
        <v>0</v>
      </c>
      <c r="G14" s="200">
        <v>120000</v>
      </c>
      <c r="H14" s="1"/>
      <c r="I14" s="1"/>
      <c r="J14" s="1"/>
      <c r="K14" s="1"/>
      <c r="L14" s="1"/>
      <c r="M14" s="1"/>
    </row>
    <row r="15" spans="1:13" s="7" customFormat="1" ht="17.25">
      <c r="A15" s="14" t="s">
        <v>16</v>
      </c>
      <c r="B15" s="202"/>
      <c r="C15" s="202"/>
      <c r="D15" s="216"/>
      <c r="E15" s="202"/>
      <c r="F15" s="202"/>
      <c r="G15" s="202"/>
      <c r="H15" s="1"/>
      <c r="I15" s="1"/>
      <c r="J15" s="1"/>
      <c r="K15" s="1"/>
      <c r="L15" s="1"/>
      <c r="M15" s="1"/>
    </row>
    <row r="16" spans="1:13" s="7" customFormat="1" ht="17.25">
      <c r="A16" s="4" t="s">
        <v>17</v>
      </c>
      <c r="B16" s="56">
        <v>120000</v>
      </c>
      <c r="C16" s="56">
        <v>120000</v>
      </c>
      <c r="D16" s="54">
        <v>120000</v>
      </c>
      <c r="E16" s="54">
        <v>120000</v>
      </c>
      <c r="F16" s="59">
        <v>0</v>
      </c>
      <c r="G16" s="54">
        <v>120000</v>
      </c>
      <c r="H16" s="1"/>
      <c r="I16" s="1"/>
      <c r="J16" s="1"/>
      <c r="K16" s="1"/>
      <c r="L16" s="1"/>
      <c r="M16" s="1"/>
    </row>
    <row r="17" spans="1:13" s="7" customFormat="1" ht="17.25">
      <c r="A17" s="4" t="s">
        <v>18</v>
      </c>
      <c r="B17" s="200">
        <v>198720</v>
      </c>
      <c r="C17" s="200">
        <v>198720</v>
      </c>
      <c r="D17" s="200">
        <v>198720</v>
      </c>
      <c r="E17" s="200">
        <v>198720</v>
      </c>
      <c r="F17" s="203">
        <v>0</v>
      </c>
      <c r="G17" s="200">
        <v>198720</v>
      </c>
      <c r="H17" s="1"/>
      <c r="I17" s="1"/>
      <c r="J17" s="1"/>
      <c r="K17" s="1"/>
      <c r="L17" s="1"/>
      <c r="M17" s="1"/>
    </row>
    <row r="18" spans="1:13" s="7" customFormat="1" ht="17.25">
      <c r="A18" s="5" t="s">
        <v>19</v>
      </c>
      <c r="B18" s="201"/>
      <c r="C18" s="201"/>
      <c r="D18" s="201"/>
      <c r="E18" s="201"/>
      <c r="F18" s="201"/>
      <c r="G18" s="201"/>
      <c r="H18" s="1"/>
      <c r="I18" s="1"/>
      <c r="J18" s="1"/>
      <c r="K18" s="1"/>
      <c r="L18" s="1"/>
      <c r="M18" s="1"/>
    </row>
    <row r="19" spans="1:13" s="7" customFormat="1" ht="17.25">
      <c r="A19" s="6" t="s">
        <v>20</v>
      </c>
      <c r="B19" s="202"/>
      <c r="C19" s="202"/>
      <c r="D19" s="202"/>
      <c r="E19" s="202"/>
      <c r="F19" s="202"/>
      <c r="G19" s="202"/>
      <c r="H19" s="1"/>
      <c r="I19" s="1"/>
      <c r="J19" s="1"/>
      <c r="K19" s="1"/>
      <c r="L19" s="1"/>
      <c r="M19" s="1"/>
    </row>
    <row r="20" spans="1:13" s="7" customFormat="1" ht="17.25">
      <c r="A20" s="5" t="s">
        <v>21</v>
      </c>
      <c r="B20" s="200">
        <v>1490400</v>
      </c>
      <c r="C20" s="200">
        <v>1490400</v>
      </c>
      <c r="D20" s="200">
        <v>1490400</v>
      </c>
      <c r="E20" s="200">
        <v>1490400</v>
      </c>
      <c r="F20" s="203">
        <v>0</v>
      </c>
      <c r="G20" s="200">
        <v>1490400</v>
      </c>
      <c r="H20" s="1"/>
      <c r="I20" s="1"/>
      <c r="J20" s="1"/>
      <c r="K20" s="1"/>
      <c r="L20" s="1"/>
      <c r="M20" s="1"/>
    </row>
    <row r="21" spans="1:13" s="7" customFormat="1" ht="17.25">
      <c r="A21" s="6" t="s">
        <v>22</v>
      </c>
      <c r="B21" s="202"/>
      <c r="C21" s="202"/>
      <c r="D21" s="202"/>
      <c r="E21" s="202"/>
      <c r="F21" s="202"/>
      <c r="G21" s="202"/>
      <c r="H21" s="1"/>
      <c r="I21" s="1"/>
      <c r="J21" s="1"/>
      <c r="K21" s="1"/>
      <c r="L21" s="1"/>
    </row>
    <row r="22" spans="1:13" s="7" customFormat="1" ht="17.25">
      <c r="A22" s="16" t="s">
        <v>23</v>
      </c>
      <c r="B22" s="60">
        <f>SUM(B13:B21)</f>
        <v>2624640</v>
      </c>
      <c r="C22" s="60">
        <f>SUM(C13:C21)</f>
        <v>2624640</v>
      </c>
      <c r="D22" s="60">
        <f>SUM(D13:D21)</f>
        <v>2624640</v>
      </c>
      <c r="E22" s="60">
        <f>SUM(E13:E21)</f>
        <v>2624720</v>
      </c>
      <c r="F22" s="60"/>
      <c r="G22" s="60">
        <f>SUM(G13:G21)</f>
        <v>2624720</v>
      </c>
      <c r="H22" s="1"/>
      <c r="I22" s="1"/>
      <c r="J22" s="1"/>
      <c r="K22" s="1"/>
      <c r="L22" s="1"/>
    </row>
    <row r="23" spans="1:13" s="7" customFormat="1" ht="17.25">
      <c r="A23" s="12" t="s">
        <v>24</v>
      </c>
      <c r="B23" s="57"/>
      <c r="C23" s="57"/>
      <c r="D23" s="57"/>
      <c r="E23" s="57"/>
      <c r="F23" s="57"/>
      <c r="G23" s="57"/>
      <c r="H23" s="1"/>
      <c r="I23" s="1"/>
      <c r="J23" s="1"/>
      <c r="K23" s="1"/>
      <c r="L23" s="1"/>
    </row>
    <row r="24" spans="1:13" s="7" customFormat="1" ht="17.25">
      <c r="A24" s="8" t="s">
        <v>25</v>
      </c>
      <c r="B24" s="56">
        <f>633080.06+2858399.12</f>
        <v>3491479.18</v>
      </c>
      <c r="C24" s="56">
        <v>3073498.8</v>
      </c>
      <c r="D24" s="56">
        <v>3123960</v>
      </c>
      <c r="E24" s="56">
        <v>2543000</v>
      </c>
      <c r="F24" s="62">
        <v>0.36059999999999998</v>
      </c>
      <c r="G24" s="56">
        <v>3460000</v>
      </c>
      <c r="H24" s="1"/>
      <c r="I24" s="1"/>
      <c r="J24" s="1"/>
      <c r="K24" s="1"/>
      <c r="L24" s="1"/>
    </row>
    <row r="25" spans="1:13" s="7" customFormat="1" ht="17.25">
      <c r="A25" s="5" t="s">
        <v>26</v>
      </c>
      <c r="B25" s="57">
        <v>91933.33</v>
      </c>
      <c r="C25" s="57">
        <v>79800</v>
      </c>
      <c r="D25" s="57">
        <v>74000</v>
      </c>
      <c r="E25" s="57">
        <v>74000</v>
      </c>
      <c r="F25" s="63">
        <v>0.75680000000000003</v>
      </c>
      <c r="G25" s="57">
        <v>130000</v>
      </c>
      <c r="H25" s="1"/>
      <c r="I25" s="1"/>
      <c r="J25" s="1"/>
      <c r="K25" s="1"/>
      <c r="L25" s="1"/>
    </row>
    <row r="26" spans="1:13" s="7" customFormat="1" ht="17.25">
      <c r="A26" s="8" t="s">
        <v>27</v>
      </c>
      <c r="B26" s="56">
        <f>280+178130</f>
        <v>178410</v>
      </c>
      <c r="C26" s="56">
        <v>192360</v>
      </c>
      <c r="D26" s="56">
        <v>199800</v>
      </c>
      <c r="E26" s="56">
        <v>214600</v>
      </c>
      <c r="F26" s="62">
        <v>1.72E-2</v>
      </c>
      <c r="G26" s="56">
        <v>218300</v>
      </c>
      <c r="H26" s="1"/>
      <c r="I26" s="1"/>
      <c r="J26" s="1"/>
      <c r="K26" s="1"/>
      <c r="L26" s="1"/>
    </row>
    <row r="27" spans="1:13" s="7" customFormat="1" ht="17.25">
      <c r="A27" s="5" t="s">
        <v>28</v>
      </c>
      <c r="B27" s="57">
        <f>446900-153360</f>
        <v>293540</v>
      </c>
      <c r="C27" s="57">
        <v>1012560</v>
      </c>
      <c r="D27" s="57">
        <v>1008000</v>
      </c>
      <c r="E27" s="57">
        <v>910530</v>
      </c>
      <c r="F27" s="63">
        <v>-0.26200000000000001</v>
      </c>
      <c r="G27" s="57">
        <v>672000</v>
      </c>
      <c r="H27" s="1"/>
      <c r="I27" s="1"/>
      <c r="J27" s="1"/>
      <c r="K27" s="1"/>
      <c r="L27" s="1"/>
    </row>
    <row r="28" spans="1:13" ht="17.25">
      <c r="A28" s="8" t="s">
        <v>32</v>
      </c>
      <c r="B28" s="56">
        <v>96000</v>
      </c>
      <c r="C28" s="56">
        <v>111000</v>
      </c>
      <c r="D28" s="56">
        <v>108000</v>
      </c>
      <c r="E28" s="56">
        <v>96000</v>
      </c>
      <c r="F28" s="119" t="s">
        <v>653</v>
      </c>
      <c r="G28" s="56">
        <v>50000</v>
      </c>
      <c r="H28" s="1"/>
      <c r="I28" s="1"/>
      <c r="J28" s="1"/>
      <c r="K28" s="1"/>
      <c r="L28" s="1"/>
    </row>
    <row r="29" spans="1:13" ht="17.25">
      <c r="A29" s="8" t="s">
        <v>29</v>
      </c>
      <c r="B29" s="56">
        <v>67200</v>
      </c>
      <c r="C29" s="56">
        <v>79800</v>
      </c>
      <c r="D29" s="56">
        <v>84000</v>
      </c>
      <c r="E29" s="56">
        <v>84000</v>
      </c>
      <c r="F29" s="198">
        <v>0</v>
      </c>
      <c r="G29" s="56">
        <v>84000</v>
      </c>
      <c r="H29" s="1"/>
      <c r="I29" s="1"/>
      <c r="J29" s="1"/>
      <c r="K29" s="1"/>
      <c r="L29" s="1"/>
    </row>
    <row r="30" spans="1:13" ht="17.25">
      <c r="A30" s="16" t="s">
        <v>30</v>
      </c>
      <c r="B30" s="60">
        <f>SUM(B24:B29)</f>
        <v>4218562.51</v>
      </c>
      <c r="C30" s="60">
        <f>SUM(C24:C29)</f>
        <v>4549018.8</v>
      </c>
      <c r="D30" s="60">
        <f>SUM(D24:D29)</f>
        <v>4597760</v>
      </c>
      <c r="E30" s="60">
        <f>SUM(E24:E29)</f>
        <v>3922130</v>
      </c>
      <c r="F30" s="60"/>
      <c r="G30" s="60">
        <f>SUM(G24:G29)</f>
        <v>4614300</v>
      </c>
      <c r="H30" s="1"/>
      <c r="I30" s="1"/>
      <c r="J30" s="1"/>
      <c r="K30" s="1"/>
      <c r="L30" s="1"/>
    </row>
    <row r="31" spans="1:13" ht="17.25">
      <c r="A31" s="15" t="s">
        <v>31</v>
      </c>
      <c r="B31" s="61">
        <f>B22+B30</f>
        <v>6843202.5099999998</v>
      </c>
      <c r="C31" s="61">
        <f>C22+C30</f>
        <v>7173658.7999999998</v>
      </c>
      <c r="D31" s="61">
        <f>D22+D30</f>
        <v>7222400</v>
      </c>
      <c r="E31" s="61">
        <f>E22+E30</f>
        <v>6546850</v>
      </c>
      <c r="F31" s="61"/>
      <c r="G31" s="61">
        <f>G22+G30</f>
        <v>7239020</v>
      </c>
      <c r="H31" s="1"/>
      <c r="I31" s="1"/>
      <c r="J31" s="1"/>
      <c r="K31" s="1"/>
      <c r="L31" s="1"/>
    </row>
    <row r="32" spans="1:13" s="7" customFormat="1" ht="17.25">
      <c r="A32" s="11" t="s">
        <v>33</v>
      </c>
      <c r="B32" s="8"/>
      <c r="C32" s="8"/>
      <c r="D32" s="10"/>
      <c r="E32" s="10"/>
      <c r="F32" s="8"/>
      <c r="G32" s="10"/>
      <c r="H32" s="1"/>
      <c r="I32" s="1"/>
      <c r="J32" s="1"/>
      <c r="K32" s="1"/>
      <c r="L32" s="1"/>
      <c r="M32" s="1"/>
    </row>
    <row r="33" spans="1:13" s="7" customFormat="1" ht="17.25">
      <c r="A33" s="12" t="s">
        <v>34</v>
      </c>
      <c r="B33" s="5"/>
      <c r="C33" s="8"/>
      <c r="D33" s="3"/>
      <c r="E33" s="3"/>
      <c r="F33" s="5"/>
      <c r="G33" s="3"/>
      <c r="H33" s="1"/>
      <c r="I33" s="1"/>
      <c r="J33" s="1"/>
      <c r="K33" s="1"/>
      <c r="L33" s="1"/>
      <c r="M33" s="1"/>
    </row>
    <row r="34" spans="1:13" s="7" customFormat="1" ht="17.25">
      <c r="A34" s="4" t="s">
        <v>38</v>
      </c>
      <c r="B34" s="200">
        <v>507930</v>
      </c>
      <c r="C34" s="222">
        <v>539610</v>
      </c>
      <c r="D34" s="215">
        <f>87255+226975</f>
        <v>314230</v>
      </c>
      <c r="E34" s="200">
        <v>261700</v>
      </c>
      <c r="F34" s="207" t="s">
        <v>654</v>
      </c>
      <c r="G34" s="200">
        <v>150000</v>
      </c>
      <c r="H34" s="1"/>
      <c r="I34" s="1"/>
      <c r="J34" s="1"/>
      <c r="K34" s="1"/>
      <c r="L34" s="1"/>
      <c r="M34" s="1"/>
    </row>
    <row r="35" spans="1:13" s="7" customFormat="1" ht="17.25">
      <c r="A35" s="6" t="s">
        <v>37</v>
      </c>
      <c r="B35" s="202"/>
      <c r="C35" s="222"/>
      <c r="D35" s="216"/>
      <c r="E35" s="202"/>
      <c r="F35" s="202"/>
      <c r="G35" s="202"/>
      <c r="H35" s="1"/>
      <c r="I35" s="1"/>
      <c r="J35" s="1"/>
      <c r="K35" s="1"/>
      <c r="L35" s="1"/>
      <c r="M35" s="1"/>
    </row>
    <row r="36" spans="1:13" s="7" customFormat="1" ht="17.25">
      <c r="A36" s="6" t="s">
        <v>35</v>
      </c>
      <c r="B36" s="56">
        <v>0</v>
      </c>
      <c r="C36" s="56">
        <v>0</v>
      </c>
      <c r="D36" s="54">
        <v>10000</v>
      </c>
      <c r="E36" s="54">
        <v>2000</v>
      </c>
      <c r="F36" s="62">
        <v>-1</v>
      </c>
      <c r="G36" s="54">
        <v>0</v>
      </c>
      <c r="H36" s="1"/>
      <c r="I36" s="1"/>
      <c r="J36" s="1"/>
      <c r="K36" s="1"/>
      <c r="L36" s="1"/>
      <c r="M36" s="1"/>
    </row>
    <row r="37" spans="1:13" s="7" customFormat="1" ht="17.25">
      <c r="A37" s="20" t="s">
        <v>36</v>
      </c>
      <c r="B37" s="65">
        <v>42000</v>
      </c>
      <c r="C37" s="65">
        <v>48000</v>
      </c>
      <c r="D37" s="153">
        <v>65500</v>
      </c>
      <c r="E37" s="65">
        <v>60000</v>
      </c>
      <c r="F37" s="119" t="s">
        <v>456</v>
      </c>
      <c r="G37" s="65">
        <v>42000</v>
      </c>
      <c r="H37" s="1"/>
      <c r="I37" s="1"/>
      <c r="J37" s="1"/>
      <c r="K37" s="1"/>
      <c r="L37" s="1"/>
      <c r="M37" s="1"/>
    </row>
    <row r="38" spans="1:13" s="7" customFormat="1" ht="17.25">
      <c r="A38" s="14" t="s">
        <v>39</v>
      </c>
      <c r="B38" s="66">
        <v>24000</v>
      </c>
      <c r="C38" s="65">
        <v>18695</v>
      </c>
      <c r="D38" s="154">
        <v>43000</v>
      </c>
      <c r="E38" s="66">
        <v>28200</v>
      </c>
      <c r="F38" s="105" t="s">
        <v>655</v>
      </c>
      <c r="G38" s="66">
        <v>38000</v>
      </c>
      <c r="H38" s="1"/>
      <c r="I38" s="1"/>
      <c r="J38" s="1"/>
      <c r="K38" s="1"/>
      <c r="L38" s="1"/>
      <c r="M38" s="1"/>
    </row>
    <row r="39" spans="1:13" s="7" customFormat="1" ht="17.25">
      <c r="A39" s="16" t="s">
        <v>40</v>
      </c>
      <c r="B39" s="60">
        <f>SUM(B34:B38)</f>
        <v>573930</v>
      </c>
      <c r="C39" s="60">
        <f>SUM(C34:C38)</f>
        <v>606305</v>
      </c>
      <c r="D39" s="71">
        <f>SUM(D34:D38)</f>
        <v>432730</v>
      </c>
      <c r="E39" s="71">
        <f>SUM(E34:E38)</f>
        <v>351900</v>
      </c>
      <c r="F39" s="73"/>
      <c r="G39" s="71">
        <f>SUM(G34:G38)</f>
        <v>230000</v>
      </c>
      <c r="H39" s="1"/>
      <c r="I39" s="1"/>
      <c r="J39" s="1"/>
      <c r="K39" s="1"/>
      <c r="L39" s="1"/>
      <c r="M39" s="1"/>
    </row>
    <row r="40" spans="1:13" s="7" customFormat="1" ht="17.25">
      <c r="A40" s="11" t="s">
        <v>41</v>
      </c>
      <c r="B40" s="56"/>
      <c r="C40" s="56"/>
      <c r="D40" s="54"/>
      <c r="E40" s="54"/>
      <c r="F40" s="176"/>
      <c r="G40" s="54"/>
      <c r="H40" s="1"/>
      <c r="I40" s="1"/>
      <c r="J40" s="1"/>
      <c r="K40" s="1"/>
      <c r="L40" s="1"/>
      <c r="M40" s="1"/>
    </row>
    <row r="41" spans="1:13" s="7" customFormat="1" ht="17.25">
      <c r="A41" s="8" t="s">
        <v>42</v>
      </c>
      <c r="B41" s="65">
        <v>375390.3</v>
      </c>
      <c r="C41" s="65">
        <v>369400</v>
      </c>
      <c r="D41" s="153">
        <f>390800-162959.86</f>
        <v>227840.14</v>
      </c>
      <c r="E41" s="65">
        <v>260000</v>
      </c>
      <c r="F41" s="75" t="s">
        <v>318</v>
      </c>
      <c r="G41" s="65">
        <v>233000</v>
      </c>
      <c r="H41" s="1"/>
      <c r="I41" s="1"/>
      <c r="J41" s="1"/>
      <c r="K41" s="1"/>
      <c r="L41" s="1"/>
      <c r="M41" s="1"/>
    </row>
    <row r="42" spans="1:13" s="7" customFormat="1" ht="17.25">
      <c r="A42" s="18" t="s">
        <v>43</v>
      </c>
      <c r="B42" s="66">
        <v>4500</v>
      </c>
      <c r="C42" s="65">
        <v>5150</v>
      </c>
      <c r="D42" s="154">
        <v>5000</v>
      </c>
      <c r="E42" s="66">
        <v>15000</v>
      </c>
      <c r="F42" s="127">
        <v>-0.73329999999999995</v>
      </c>
      <c r="G42" s="66">
        <v>4000</v>
      </c>
      <c r="H42" s="1"/>
      <c r="I42" s="1"/>
      <c r="J42" s="1"/>
      <c r="K42" s="1"/>
      <c r="L42" s="1"/>
      <c r="M42" s="1"/>
    </row>
    <row r="43" spans="1:13" s="7" customFormat="1" ht="17.25">
      <c r="A43" s="4" t="s">
        <v>44</v>
      </c>
      <c r="B43" s="200"/>
      <c r="C43" s="200"/>
      <c r="D43" s="200"/>
      <c r="E43" s="200"/>
      <c r="F43" s="200"/>
      <c r="G43" s="200"/>
      <c r="H43" s="1"/>
      <c r="I43" s="1"/>
      <c r="J43" s="1"/>
      <c r="K43" s="1"/>
      <c r="L43" s="1"/>
      <c r="M43" s="1"/>
    </row>
    <row r="44" spans="1:13" s="7" customFormat="1" ht="17.25">
      <c r="A44" s="6" t="s">
        <v>45</v>
      </c>
      <c r="B44" s="202"/>
      <c r="C44" s="202"/>
      <c r="D44" s="202"/>
      <c r="E44" s="202"/>
      <c r="F44" s="202"/>
      <c r="G44" s="202"/>
      <c r="H44" s="1"/>
      <c r="I44" s="1"/>
      <c r="J44" s="1"/>
      <c r="K44" s="1"/>
      <c r="L44" s="1"/>
    </row>
    <row r="45" spans="1:13" s="7" customFormat="1" ht="17.25">
      <c r="A45" s="22" t="s">
        <v>46</v>
      </c>
      <c r="B45" s="56">
        <f>41150+100000</f>
        <v>141150</v>
      </c>
      <c r="C45" s="56">
        <v>30000</v>
      </c>
      <c r="D45" s="56">
        <v>80000</v>
      </c>
      <c r="E45" s="56">
        <v>70000</v>
      </c>
      <c r="F45" s="119">
        <v>1</v>
      </c>
      <c r="G45" s="56">
        <v>80000</v>
      </c>
      <c r="H45" s="1"/>
      <c r="I45" s="1"/>
      <c r="J45" s="1"/>
      <c r="K45" s="1"/>
      <c r="L45" s="1"/>
    </row>
    <row r="46" spans="1:13" ht="17.25">
      <c r="A46" s="22" t="s">
        <v>48</v>
      </c>
      <c r="B46" s="58">
        <v>0</v>
      </c>
      <c r="C46" s="58">
        <v>0</v>
      </c>
      <c r="D46" s="58">
        <v>0</v>
      </c>
      <c r="E46" s="58">
        <v>0</v>
      </c>
      <c r="F46" s="105">
        <v>1</v>
      </c>
      <c r="G46" s="58">
        <v>200000</v>
      </c>
    </row>
    <row r="47" spans="1:13" s="7" customFormat="1" ht="17.25">
      <c r="A47" s="8" t="s">
        <v>47</v>
      </c>
      <c r="B47" s="57">
        <v>0</v>
      </c>
      <c r="C47" s="57">
        <v>0</v>
      </c>
      <c r="D47" s="57">
        <v>0</v>
      </c>
      <c r="E47" s="120">
        <v>0</v>
      </c>
      <c r="F47" s="119">
        <v>0</v>
      </c>
      <c r="G47" s="120">
        <v>0</v>
      </c>
      <c r="H47" s="1"/>
      <c r="I47" s="1"/>
      <c r="J47" s="1"/>
      <c r="K47" s="1"/>
      <c r="L47" s="1"/>
    </row>
    <row r="48" spans="1:13" s="7" customFormat="1" ht="17.25">
      <c r="A48" s="4" t="s">
        <v>423</v>
      </c>
      <c r="B48" s="200">
        <v>0</v>
      </c>
      <c r="C48" s="200">
        <v>0</v>
      </c>
      <c r="D48" s="200">
        <v>0</v>
      </c>
      <c r="E48" s="200">
        <v>0</v>
      </c>
      <c r="F48" s="203">
        <v>0</v>
      </c>
      <c r="G48" s="200">
        <v>0</v>
      </c>
      <c r="H48" s="1"/>
      <c r="I48" s="1"/>
      <c r="J48" s="1"/>
      <c r="K48" s="1"/>
      <c r="L48" s="1"/>
    </row>
    <row r="49" spans="1:12" s="7" customFormat="1" ht="17.25">
      <c r="A49" s="6" t="s">
        <v>424</v>
      </c>
      <c r="B49" s="202"/>
      <c r="C49" s="202"/>
      <c r="D49" s="202"/>
      <c r="E49" s="202"/>
      <c r="F49" s="202"/>
      <c r="G49" s="202"/>
      <c r="H49" s="1"/>
      <c r="I49" s="1"/>
      <c r="J49" s="1"/>
      <c r="K49" s="1"/>
      <c r="L49" s="1"/>
    </row>
    <row r="50" spans="1:12" ht="17.25">
      <c r="A50" s="27" t="s">
        <v>293</v>
      </c>
      <c r="B50" s="200">
        <v>80000</v>
      </c>
      <c r="C50" s="200">
        <v>75000</v>
      </c>
      <c r="D50" s="200">
        <v>40000</v>
      </c>
      <c r="E50" s="200">
        <v>0</v>
      </c>
      <c r="F50" s="211">
        <v>0</v>
      </c>
      <c r="G50" s="200">
        <v>0</v>
      </c>
    </row>
    <row r="51" spans="1:12" ht="17.25">
      <c r="A51" s="26" t="s">
        <v>294</v>
      </c>
      <c r="B51" s="202"/>
      <c r="C51" s="202"/>
      <c r="D51" s="202"/>
      <c r="E51" s="202"/>
      <c r="F51" s="202"/>
      <c r="G51" s="202"/>
    </row>
    <row r="52" spans="1:12" ht="17.25">
      <c r="A52" s="27" t="s">
        <v>425</v>
      </c>
      <c r="B52" s="200">
        <v>0</v>
      </c>
      <c r="C52" s="200">
        <v>0</v>
      </c>
      <c r="D52" s="200">
        <v>0</v>
      </c>
      <c r="E52" s="200">
        <v>240000</v>
      </c>
      <c r="F52" s="203">
        <v>-1</v>
      </c>
      <c r="G52" s="200">
        <v>0</v>
      </c>
    </row>
    <row r="53" spans="1:12" ht="17.25">
      <c r="A53" s="6" t="s">
        <v>426</v>
      </c>
      <c r="B53" s="202"/>
      <c r="C53" s="202"/>
      <c r="D53" s="202"/>
      <c r="E53" s="202"/>
      <c r="F53" s="202"/>
      <c r="G53" s="202"/>
    </row>
    <row r="54" spans="1:12" ht="17.25">
      <c r="A54" s="27" t="s">
        <v>287</v>
      </c>
      <c r="B54" s="200">
        <v>15000</v>
      </c>
      <c r="C54" s="200">
        <v>0</v>
      </c>
      <c r="D54" s="200">
        <v>0</v>
      </c>
      <c r="E54" s="200">
        <v>20000</v>
      </c>
      <c r="F54" s="203">
        <v>1</v>
      </c>
      <c r="G54" s="200">
        <v>120000</v>
      </c>
    </row>
    <row r="55" spans="1:12" ht="17.25">
      <c r="A55" s="5" t="s">
        <v>427</v>
      </c>
      <c r="B55" s="201"/>
      <c r="C55" s="201"/>
      <c r="D55" s="201"/>
      <c r="E55" s="201"/>
      <c r="F55" s="201"/>
      <c r="G55" s="201"/>
    </row>
    <row r="56" spans="1:12" ht="17.25">
      <c r="A56" s="5" t="s">
        <v>288</v>
      </c>
      <c r="B56" s="201"/>
      <c r="C56" s="201"/>
      <c r="D56" s="201"/>
      <c r="E56" s="201"/>
      <c r="F56" s="201"/>
      <c r="G56" s="201"/>
    </row>
    <row r="57" spans="1:12" s="7" customFormat="1" ht="17.25">
      <c r="A57" s="4" t="s">
        <v>285</v>
      </c>
      <c r="B57" s="200">
        <v>60000</v>
      </c>
      <c r="C57" s="200">
        <v>0</v>
      </c>
      <c r="D57" s="200">
        <v>10000</v>
      </c>
      <c r="E57" s="200">
        <v>0</v>
      </c>
      <c r="F57" s="203">
        <v>0</v>
      </c>
      <c r="G57" s="200">
        <v>0</v>
      </c>
      <c r="H57" s="1"/>
      <c r="I57" s="1"/>
      <c r="J57" s="1"/>
      <c r="K57" s="1"/>
      <c r="L57" s="1"/>
    </row>
    <row r="58" spans="1:12" s="7" customFormat="1" ht="17.25">
      <c r="A58" s="5" t="s">
        <v>286</v>
      </c>
      <c r="B58" s="202"/>
      <c r="C58" s="202"/>
      <c r="D58" s="202"/>
      <c r="E58" s="202"/>
      <c r="F58" s="202"/>
      <c r="G58" s="202"/>
      <c r="H58" s="1"/>
      <c r="I58" s="1"/>
      <c r="J58" s="1"/>
      <c r="K58" s="1"/>
      <c r="L58" s="1"/>
    </row>
    <row r="59" spans="1:12" ht="17.25">
      <c r="A59" s="27" t="s">
        <v>291</v>
      </c>
      <c r="B59" s="200">
        <f>229960+350000-321993.4</f>
        <v>257966.59999999998</v>
      </c>
      <c r="C59" s="200">
        <v>0</v>
      </c>
      <c r="D59" s="200">
        <v>360000</v>
      </c>
      <c r="E59" s="200">
        <v>0</v>
      </c>
      <c r="F59" s="203">
        <v>0</v>
      </c>
      <c r="G59" s="200">
        <v>0</v>
      </c>
      <c r="H59" s="1"/>
      <c r="I59" s="1"/>
      <c r="J59" s="1"/>
      <c r="K59" s="1"/>
      <c r="L59" s="1"/>
    </row>
    <row r="60" spans="1:12" ht="17.25">
      <c r="A60" s="26" t="s">
        <v>292</v>
      </c>
      <c r="B60" s="201"/>
      <c r="C60" s="201"/>
      <c r="D60" s="201"/>
      <c r="E60" s="201"/>
      <c r="F60" s="204"/>
      <c r="G60" s="201"/>
      <c r="H60" s="1"/>
      <c r="I60" s="1"/>
      <c r="J60" s="1"/>
      <c r="K60" s="1"/>
      <c r="L60" s="1"/>
    </row>
    <row r="61" spans="1:12" ht="17.25">
      <c r="A61" s="5" t="s">
        <v>290</v>
      </c>
      <c r="B61" s="201"/>
      <c r="C61" s="201"/>
      <c r="D61" s="201"/>
      <c r="E61" s="201"/>
      <c r="F61" s="204"/>
      <c r="G61" s="201"/>
      <c r="H61" s="1"/>
      <c r="I61" s="1"/>
      <c r="J61" s="1"/>
      <c r="K61" s="1"/>
      <c r="L61" s="1"/>
    </row>
    <row r="62" spans="1:12" ht="17.25">
      <c r="A62" s="6" t="s">
        <v>289</v>
      </c>
      <c r="B62" s="202"/>
      <c r="C62" s="202"/>
      <c r="D62" s="202"/>
      <c r="E62" s="202"/>
      <c r="F62" s="205"/>
      <c r="G62" s="202"/>
      <c r="H62" s="1"/>
      <c r="I62" s="1"/>
      <c r="J62" s="1"/>
      <c r="K62" s="1"/>
      <c r="L62" s="1"/>
    </row>
    <row r="63" spans="1:12" ht="17.25">
      <c r="A63" s="27" t="s">
        <v>428</v>
      </c>
      <c r="B63" s="200">
        <v>0</v>
      </c>
      <c r="C63" s="200">
        <v>0</v>
      </c>
      <c r="D63" s="200">
        <v>0</v>
      </c>
      <c r="E63" s="200">
        <v>0</v>
      </c>
      <c r="F63" s="203">
        <v>0</v>
      </c>
      <c r="G63" s="200">
        <v>0</v>
      </c>
    </row>
    <row r="64" spans="1:12" ht="17.25">
      <c r="A64" s="26" t="s">
        <v>429</v>
      </c>
      <c r="B64" s="201"/>
      <c r="C64" s="201"/>
      <c r="D64" s="201"/>
      <c r="E64" s="201"/>
      <c r="F64" s="201"/>
      <c r="G64" s="201"/>
    </row>
    <row r="65" spans="1:13" ht="17.25">
      <c r="A65" s="27" t="s">
        <v>295</v>
      </c>
      <c r="B65" s="200">
        <v>0</v>
      </c>
      <c r="C65" s="200">
        <v>0</v>
      </c>
      <c r="D65" s="200">
        <v>0</v>
      </c>
      <c r="E65" s="200">
        <v>0</v>
      </c>
      <c r="F65" s="203">
        <v>0</v>
      </c>
      <c r="G65" s="200">
        <v>0</v>
      </c>
    </row>
    <row r="66" spans="1:13" ht="17.25">
      <c r="A66" s="26" t="s">
        <v>296</v>
      </c>
      <c r="B66" s="201"/>
      <c r="C66" s="201"/>
      <c r="D66" s="201"/>
      <c r="E66" s="201"/>
      <c r="F66" s="204"/>
      <c r="G66" s="201"/>
    </row>
    <row r="67" spans="1:13" ht="17.25">
      <c r="A67" s="24" t="s">
        <v>297</v>
      </c>
      <c r="B67" s="202"/>
      <c r="C67" s="202"/>
      <c r="D67" s="202"/>
      <c r="E67" s="202"/>
      <c r="F67" s="205"/>
      <c r="G67" s="202"/>
    </row>
    <row r="68" spans="1:13" ht="17.25">
      <c r="A68" s="27" t="s">
        <v>430</v>
      </c>
      <c r="B68" s="200">
        <v>0</v>
      </c>
      <c r="C68" s="200">
        <v>0</v>
      </c>
      <c r="D68" s="200">
        <v>0</v>
      </c>
      <c r="E68" s="200">
        <v>0</v>
      </c>
      <c r="F68" s="203">
        <v>0</v>
      </c>
      <c r="G68" s="200">
        <v>0</v>
      </c>
    </row>
    <row r="69" spans="1:13" ht="17.25">
      <c r="A69" s="26" t="s">
        <v>431</v>
      </c>
      <c r="B69" s="201"/>
      <c r="C69" s="201"/>
      <c r="D69" s="201"/>
      <c r="E69" s="201"/>
      <c r="F69" s="204"/>
      <c r="G69" s="201"/>
    </row>
    <row r="70" spans="1:13" ht="17.25">
      <c r="A70" s="24" t="s">
        <v>432</v>
      </c>
      <c r="B70" s="202"/>
      <c r="C70" s="202"/>
      <c r="D70" s="202"/>
      <c r="E70" s="202"/>
      <c r="F70" s="205"/>
      <c r="G70" s="202"/>
    </row>
    <row r="71" spans="1:13" ht="17.25">
      <c r="A71" s="27" t="s">
        <v>583</v>
      </c>
      <c r="B71" s="200">
        <v>0</v>
      </c>
      <c r="C71" s="200">
        <v>0</v>
      </c>
      <c r="D71" s="200">
        <v>0</v>
      </c>
      <c r="E71" s="200">
        <v>100000</v>
      </c>
      <c r="F71" s="203">
        <v>-0.2</v>
      </c>
      <c r="G71" s="200">
        <v>80000</v>
      </c>
    </row>
    <row r="72" spans="1:13" ht="17.25">
      <c r="A72" s="26"/>
      <c r="B72" s="201"/>
      <c r="C72" s="201"/>
      <c r="D72" s="201"/>
      <c r="E72" s="201"/>
      <c r="F72" s="201"/>
      <c r="G72" s="201"/>
    </row>
    <row r="73" spans="1:13" s="41" customFormat="1" ht="17.25">
      <c r="A73" s="22" t="s">
        <v>49</v>
      </c>
      <c r="B73" s="176">
        <v>71943.81</v>
      </c>
      <c r="C73" s="176">
        <f>670.24+30000</f>
        <v>30670.240000000002</v>
      </c>
      <c r="D73" s="77">
        <v>40000</v>
      </c>
      <c r="E73" s="77">
        <v>70000</v>
      </c>
      <c r="F73" s="127">
        <v>-0.71430000000000005</v>
      </c>
      <c r="G73" s="77">
        <v>20000</v>
      </c>
    </row>
    <row r="74" spans="1:13" ht="17.25">
      <c r="A74" s="16" t="s">
        <v>50</v>
      </c>
      <c r="B74" s="73">
        <f>SUM(B41:B73)</f>
        <v>1005950.71</v>
      </c>
      <c r="C74" s="73">
        <f>SUM(C41:C73)</f>
        <v>510220.24</v>
      </c>
      <c r="D74" s="112">
        <f>D41+D42+D43+D44+D45+D46+D47+D48+D49+D50+D51+D52+D53+D54+D55+D56+D57+D58+D59+D60+D61+D62+D63+D64+D65+D66+D67+D68+D69+D70+D73+D71+D72</f>
        <v>762840.14</v>
      </c>
      <c r="E74" s="112">
        <f>E41+E42+E43+E44+E45+E46+E47+E48+E49+E50+E51+E52+E53+E54+E55+E56+E57+E58+E59+E60+E61+E62+E63+E64+E65+E66+E67+E71+E72+E68+E69+E70+E73</f>
        <v>775000</v>
      </c>
      <c r="F74" s="73"/>
      <c r="G74" s="112">
        <f>G41+G42+G43+G44+G45+G46+G47+G48+G49+G50+G51+G52+G53+G54+G55+G56+G57+G58+G59+G60+G61+G62+G63+G64+G65+G71+G72+G66+G67+G68+G69+G70+G73</f>
        <v>737000</v>
      </c>
    </row>
    <row r="75" spans="1:13" ht="17.25">
      <c r="A75" s="29" t="s">
        <v>51</v>
      </c>
      <c r="B75" s="165"/>
      <c r="C75" s="176"/>
      <c r="D75" s="170"/>
      <c r="E75" s="170"/>
      <c r="F75" s="165"/>
      <c r="G75" s="170"/>
    </row>
    <row r="76" spans="1:13" s="7" customFormat="1" ht="17.25">
      <c r="A76" s="8" t="s">
        <v>52</v>
      </c>
      <c r="B76" s="56">
        <v>89500</v>
      </c>
      <c r="C76" s="56">
        <v>89916</v>
      </c>
      <c r="D76" s="54">
        <v>90000</v>
      </c>
      <c r="E76" s="54">
        <v>90000</v>
      </c>
      <c r="F76" s="62">
        <v>-0.44440000000000002</v>
      </c>
      <c r="G76" s="54">
        <v>50000</v>
      </c>
      <c r="H76" s="1"/>
      <c r="I76" s="1"/>
      <c r="J76" s="1"/>
      <c r="K76" s="1"/>
      <c r="L76" s="1"/>
      <c r="M76" s="1"/>
    </row>
    <row r="77" spans="1:13" s="7" customFormat="1" ht="17.25">
      <c r="A77" s="8" t="s">
        <v>53</v>
      </c>
      <c r="B77" s="65">
        <v>8600</v>
      </c>
      <c r="C77" s="65">
        <v>7194</v>
      </c>
      <c r="D77" s="65">
        <v>30000</v>
      </c>
      <c r="E77" s="65">
        <v>25000</v>
      </c>
      <c r="F77" s="119" t="s">
        <v>656</v>
      </c>
      <c r="G77" s="65">
        <v>2000</v>
      </c>
      <c r="H77" s="1"/>
      <c r="I77" s="1"/>
      <c r="J77" s="1"/>
      <c r="K77" s="1"/>
      <c r="L77" s="1"/>
      <c r="M77" s="1"/>
    </row>
    <row r="78" spans="1:13" s="7" customFormat="1" ht="17.25">
      <c r="A78" s="18" t="s">
        <v>54</v>
      </c>
      <c r="B78" s="66">
        <v>10000</v>
      </c>
      <c r="C78" s="66">
        <v>29987</v>
      </c>
      <c r="D78" s="66">
        <v>30000</v>
      </c>
      <c r="E78" s="66">
        <v>30000</v>
      </c>
      <c r="F78" s="95">
        <v>-0.33329999999999999</v>
      </c>
      <c r="G78" s="66">
        <v>20000</v>
      </c>
      <c r="H78" s="1"/>
      <c r="I78" s="1"/>
      <c r="J78" s="1"/>
      <c r="K78" s="1"/>
      <c r="L78" s="1"/>
      <c r="M78" s="1"/>
    </row>
    <row r="79" spans="1:13" s="7" customFormat="1" ht="17.25">
      <c r="A79" s="8" t="s">
        <v>55</v>
      </c>
      <c r="B79" s="65">
        <v>28358</v>
      </c>
      <c r="C79" s="65">
        <v>21955</v>
      </c>
      <c r="D79" s="65">
        <v>20000</v>
      </c>
      <c r="E79" s="65">
        <v>15000</v>
      </c>
      <c r="F79" s="127">
        <v>-0.86670000000000003</v>
      </c>
      <c r="G79" s="65">
        <v>2000</v>
      </c>
      <c r="H79" s="1"/>
      <c r="I79" s="1"/>
      <c r="J79" s="1"/>
      <c r="K79" s="1"/>
      <c r="L79" s="1"/>
      <c r="M79" s="1"/>
    </row>
    <row r="80" spans="1:13" s="7" customFormat="1" ht="17.25">
      <c r="A80" s="6" t="s">
        <v>56</v>
      </c>
      <c r="B80" s="66">
        <v>32000</v>
      </c>
      <c r="C80" s="66">
        <v>6985</v>
      </c>
      <c r="D80" s="66">
        <v>40000</v>
      </c>
      <c r="E80" s="66">
        <v>35000</v>
      </c>
      <c r="F80" s="140">
        <v>-0.42859999999999998</v>
      </c>
      <c r="G80" s="66">
        <v>20000</v>
      </c>
      <c r="H80" s="1"/>
      <c r="I80" s="1"/>
      <c r="J80" s="1"/>
      <c r="K80" s="1"/>
      <c r="L80" s="1"/>
    </row>
    <row r="81" spans="1:12" s="7" customFormat="1" ht="17.25">
      <c r="A81" s="22" t="s">
        <v>57</v>
      </c>
      <c r="B81" s="56">
        <v>269000</v>
      </c>
      <c r="C81" s="56">
        <v>109430</v>
      </c>
      <c r="D81" s="56">
        <v>100000</v>
      </c>
      <c r="E81" s="56">
        <v>136000</v>
      </c>
      <c r="F81" s="127">
        <v>-4.41E-2</v>
      </c>
      <c r="G81" s="56">
        <v>130000</v>
      </c>
      <c r="H81" s="1"/>
      <c r="I81" s="1"/>
      <c r="J81" s="1"/>
      <c r="K81" s="1"/>
      <c r="L81" s="1"/>
    </row>
    <row r="82" spans="1:12" s="7" customFormat="1" ht="17.25">
      <c r="A82" s="8" t="s">
        <v>58</v>
      </c>
      <c r="B82" s="57">
        <v>96000</v>
      </c>
      <c r="C82" s="57">
        <v>74250</v>
      </c>
      <c r="D82" s="57">
        <v>70000</v>
      </c>
      <c r="E82" s="57">
        <v>70000</v>
      </c>
      <c r="F82" s="131">
        <v>-0.5</v>
      </c>
      <c r="G82" s="57">
        <v>35000</v>
      </c>
      <c r="H82" s="1"/>
      <c r="I82" s="1"/>
      <c r="J82" s="1"/>
      <c r="K82" s="1"/>
      <c r="L82" s="1"/>
    </row>
    <row r="83" spans="1:12" s="7" customFormat="1" ht="17.25">
      <c r="A83" s="8" t="s">
        <v>59</v>
      </c>
      <c r="B83" s="65">
        <v>7000</v>
      </c>
      <c r="C83" s="65">
        <v>23490</v>
      </c>
      <c r="D83" s="65">
        <f>18692.1+20000</f>
        <v>38692.1</v>
      </c>
      <c r="E83" s="65">
        <v>10000</v>
      </c>
      <c r="F83" s="119" t="s">
        <v>451</v>
      </c>
      <c r="G83" s="65">
        <v>2000</v>
      </c>
      <c r="H83" s="1"/>
      <c r="I83" s="1"/>
      <c r="J83" s="1"/>
      <c r="K83" s="1"/>
      <c r="L83" s="1"/>
    </row>
    <row r="84" spans="1:12" s="7" customFormat="1" ht="17.25">
      <c r="A84" s="37" t="s">
        <v>60</v>
      </c>
      <c r="B84" s="102">
        <f>B76+B77+B78+B79+B80+B81+B82+B83</f>
        <v>540458</v>
      </c>
      <c r="C84" s="102">
        <f>SUM(C76:C83)</f>
        <v>363207</v>
      </c>
      <c r="D84" s="102">
        <f>D76+D77+D78+D79+D80+D81+D82+D83</f>
        <v>418692.1</v>
      </c>
      <c r="E84" s="102">
        <f>E76+E77+E78+E79+E80+E81+E82+E83</f>
        <v>411000</v>
      </c>
      <c r="F84" s="101"/>
      <c r="G84" s="102">
        <f>G76+G77+G78+G79+G80+G81+G82+G83</f>
        <v>261000</v>
      </c>
      <c r="H84" s="1"/>
      <c r="I84" s="1"/>
      <c r="J84" s="1"/>
      <c r="K84" s="1"/>
      <c r="L84" s="1"/>
    </row>
    <row r="85" spans="1:12" s="7" customFormat="1" ht="17.25">
      <c r="A85" s="11" t="s">
        <v>61</v>
      </c>
      <c r="B85" s="65"/>
      <c r="C85" s="65"/>
      <c r="D85" s="65"/>
      <c r="E85" s="65"/>
      <c r="F85" s="176"/>
      <c r="G85" s="65"/>
      <c r="H85" s="1"/>
      <c r="I85" s="1"/>
      <c r="J85" s="1"/>
      <c r="K85" s="1"/>
      <c r="L85" s="1"/>
    </row>
    <row r="86" spans="1:12" s="7" customFormat="1" ht="17.25">
      <c r="A86" s="5" t="s">
        <v>62</v>
      </c>
      <c r="B86" s="66">
        <v>520000</v>
      </c>
      <c r="C86" s="66">
        <v>530179.62</v>
      </c>
      <c r="D86" s="66">
        <f>550000-189759.35</f>
        <v>360240.65</v>
      </c>
      <c r="E86" s="66">
        <v>520000</v>
      </c>
      <c r="F86" s="105" t="s">
        <v>657</v>
      </c>
      <c r="G86" s="66">
        <v>450000</v>
      </c>
      <c r="H86" s="1"/>
      <c r="I86" s="1"/>
      <c r="J86" s="1"/>
      <c r="K86" s="1"/>
      <c r="L86" s="1"/>
    </row>
    <row r="87" spans="1:12" ht="17.25">
      <c r="A87" s="4" t="s">
        <v>63</v>
      </c>
      <c r="B87" s="83">
        <v>65000</v>
      </c>
      <c r="C87" s="83">
        <v>95689.67</v>
      </c>
      <c r="D87" s="83">
        <v>80000</v>
      </c>
      <c r="E87" s="83">
        <v>50000</v>
      </c>
      <c r="F87" s="190" t="s">
        <v>658</v>
      </c>
      <c r="G87" s="83">
        <v>20000</v>
      </c>
      <c r="H87" s="1"/>
      <c r="I87" s="1"/>
      <c r="J87" s="1"/>
      <c r="K87" s="1"/>
      <c r="L87" s="1"/>
    </row>
    <row r="88" spans="1:12" ht="17.25">
      <c r="A88" s="8" t="s">
        <v>64</v>
      </c>
      <c r="B88" s="65">
        <v>82500</v>
      </c>
      <c r="C88" s="65">
        <v>72643.61</v>
      </c>
      <c r="D88" s="65">
        <v>80000</v>
      </c>
      <c r="E88" s="65">
        <v>70000</v>
      </c>
      <c r="F88" s="127">
        <v>-0.1429</v>
      </c>
      <c r="G88" s="65">
        <v>60000</v>
      </c>
      <c r="H88" s="1"/>
      <c r="I88" s="1"/>
      <c r="J88" s="1"/>
      <c r="K88" s="1"/>
      <c r="L88" s="1"/>
    </row>
    <row r="89" spans="1:12" ht="17.25">
      <c r="A89" s="26" t="s">
        <v>65</v>
      </c>
      <c r="B89" s="66">
        <v>5500</v>
      </c>
      <c r="C89" s="66">
        <v>12941.81</v>
      </c>
      <c r="D89" s="66">
        <v>20000</v>
      </c>
      <c r="E89" s="66">
        <v>30000</v>
      </c>
      <c r="F89" s="95">
        <v>-0.33329999999999999</v>
      </c>
      <c r="G89" s="66">
        <v>20000</v>
      </c>
      <c r="H89" s="1"/>
      <c r="I89" s="1"/>
      <c r="J89" s="1"/>
      <c r="K89" s="1"/>
      <c r="L89" s="1"/>
    </row>
    <row r="90" spans="1:12" ht="17.25">
      <c r="A90" s="27" t="s">
        <v>66</v>
      </c>
      <c r="B90" s="83">
        <v>24379.08</v>
      </c>
      <c r="C90" s="83">
        <v>32133.42</v>
      </c>
      <c r="D90" s="83">
        <v>32100</v>
      </c>
      <c r="E90" s="83">
        <v>50000</v>
      </c>
      <c r="F90" s="174">
        <v>-0.4</v>
      </c>
      <c r="G90" s="83">
        <v>30000</v>
      </c>
      <c r="H90" s="1"/>
      <c r="I90" s="1"/>
      <c r="J90" s="1"/>
      <c r="K90" s="1"/>
      <c r="L90" s="1"/>
    </row>
    <row r="91" spans="1:12" ht="17.25">
      <c r="A91" s="16" t="s">
        <v>67</v>
      </c>
      <c r="B91" s="93">
        <f>SUM(B86:B90)</f>
        <v>697379.08</v>
      </c>
      <c r="C91" s="93">
        <f>SUM(C86:C90)</f>
        <v>743588.13000000012</v>
      </c>
      <c r="D91" s="93">
        <f>SUM(D86:D90)</f>
        <v>572340.65</v>
      </c>
      <c r="E91" s="93">
        <f>SUM(E86:E90)</f>
        <v>720000</v>
      </c>
      <c r="F91" s="73"/>
      <c r="G91" s="93">
        <f>SUM(G86:G90)</f>
        <v>580000</v>
      </c>
      <c r="H91" s="1"/>
      <c r="I91" s="1"/>
      <c r="J91" s="1"/>
      <c r="K91" s="1"/>
      <c r="L91" s="1"/>
    </row>
    <row r="92" spans="1:12" ht="17.25">
      <c r="A92" s="15" t="s">
        <v>68</v>
      </c>
      <c r="B92" s="92">
        <f>B39+B74+B84+B91</f>
        <v>2817717.79</v>
      </c>
      <c r="C92" s="92">
        <f>C39+C74+C84+C91</f>
        <v>2223320.37</v>
      </c>
      <c r="D92" s="92">
        <f>D39+D74+D84+D91</f>
        <v>2186602.89</v>
      </c>
      <c r="E92" s="92">
        <f>E39+E74+E84+E91</f>
        <v>2257900</v>
      </c>
      <c r="F92" s="88"/>
      <c r="G92" s="92">
        <f>G39+G74+G84+G91</f>
        <v>1808000</v>
      </c>
      <c r="H92" s="1"/>
      <c r="I92" s="1"/>
      <c r="J92" s="1"/>
      <c r="K92" s="1"/>
      <c r="L92" s="1"/>
    </row>
    <row r="93" spans="1:12" ht="17.25">
      <c r="A93" s="21" t="s">
        <v>69</v>
      </c>
      <c r="B93" s="84"/>
      <c r="C93" s="84"/>
      <c r="D93" s="84"/>
      <c r="E93" s="84"/>
      <c r="F93" s="89"/>
      <c r="G93" s="84"/>
    </row>
    <row r="94" spans="1:12" ht="17.25">
      <c r="A94" s="23" t="s">
        <v>70</v>
      </c>
      <c r="B94" s="85"/>
      <c r="C94" s="85"/>
      <c r="D94" s="85"/>
      <c r="E94" s="85"/>
      <c r="F94" s="90"/>
      <c r="G94" s="85"/>
    </row>
    <row r="95" spans="1:12" ht="17.25">
      <c r="A95" s="22" t="s">
        <v>71</v>
      </c>
      <c r="B95" s="56"/>
      <c r="C95" s="56"/>
      <c r="D95" s="56"/>
      <c r="E95" s="56"/>
      <c r="F95" s="176"/>
      <c r="G95" s="56"/>
    </row>
    <row r="96" spans="1:12" ht="17.25">
      <c r="A96" s="22" t="s">
        <v>72</v>
      </c>
      <c r="B96" s="58">
        <v>0</v>
      </c>
      <c r="C96" s="58">
        <v>100000</v>
      </c>
      <c r="D96" s="58">
        <v>0</v>
      </c>
      <c r="E96" s="58">
        <v>0</v>
      </c>
      <c r="F96" s="105">
        <v>0</v>
      </c>
      <c r="G96" s="58">
        <v>0</v>
      </c>
    </row>
    <row r="97" spans="1:13" ht="17.25">
      <c r="A97" s="22" t="s">
        <v>73</v>
      </c>
      <c r="B97" s="56">
        <v>0</v>
      </c>
      <c r="C97" s="56">
        <v>10000</v>
      </c>
      <c r="D97" s="56">
        <v>0</v>
      </c>
      <c r="E97" s="56">
        <v>0</v>
      </c>
      <c r="F97" s="105">
        <v>0</v>
      </c>
      <c r="G97" s="56">
        <v>0</v>
      </c>
    </row>
    <row r="98" spans="1:13" s="7" customFormat="1" ht="17.25">
      <c r="A98" s="22" t="s">
        <v>319</v>
      </c>
      <c r="B98" s="65">
        <v>0</v>
      </c>
      <c r="C98" s="65">
        <v>16000</v>
      </c>
      <c r="D98" s="65">
        <v>0</v>
      </c>
      <c r="E98" s="65">
        <v>16000</v>
      </c>
      <c r="F98" s="175" t="s">
        <v>320</v>
      </c>
      <c r="G98" s="65">
        <v>11000</v>
      </c>
      <c r="H98" s="1"/>
      <c r="I98" s="1"/>
      <c r="J98" s="1"/>
      <c r="K98" s="1"/>
      <c r="L98" s="1"/>
      <c r="M98" s="1"/>
    </row>
    <row r="99" spans="1:13" s="7" customFormat="1" ht="17.25">
      <c r="A99" s="22" t="s">
        <v>584</v>
      </c>
      <c r="B99" s="65">
        <v>0</v>
      </c>
      <c r="C99" s="65">
        <v>0</v>
      </c>
      <c r="D99" s="65">
        <v>0</v>
      </c>
      <c r="E99" s="65">
        <v>1700</v>
      </c>
      <c r="F99" s="105">
        <v>1</v>
      </c>
      <c r="G99" s="65">
        <v>1800</v>
      </c>
      <c r="H99" s="1"/>
      <c r="I99" s="1"/>
      <c r="J99" s="1"/>
      <c r="K99" s="1"/>
      <c r="L99" s="1"/>
      <c r="M99" s="1"/>
    </row>
    <row r="100" spans="1:13" s="7" customFormat="1" ht="17.25">
      <c r="A100" s="22" t="s">
        <v>585</v>
      </c>
      <c r="B100" s="65">
        <v>0</v>
      </c>
      <c r="C100" s="65">
        <v>0</v>
      </c>
      <c r="D100" s="65">
        <v>0</v>
      </c>
      <c r="E100" s="65">
        <v>0</v>
      </c>
      <c r="F100" s="105">
        <v>1</v>
      </c>
      <c r="G100" s="65">
        <v>5000</v>
      </c>
      <c r="H100" s="1"/>
      <c r="I100" s="1"/>
      <c r="J100" s="1"/>
      <c r="K100" s="1"/>
      <c r="L100" s="1"/>
      <c r="M100" s="1"/>
    </row>
    <row r="101" spans="1:13" s="7" customFormat="1" ht="17.25">
      <c r="A101" s="22" t="s">
        <v>586</v>
      </c>
      <c r="B101" s="65">
        <v>0</v>
      </c>
      <c r="C101" s="65">
        <v>0</v>
      </c>
      <c r="D101" s="65">
        <v>0</v>
      </c>
      <c r="E101" s="65">
        <v>0</v>
      </c>
      <c r="F101" s="105">
        <v>1</v>
      </c>
      <c r="G101" s="65">
        <v>8000</v>
      </c>
      <c r="H101" s="1"/>
      <c r="I101" s="1"/>
      <c r="J101" s="1"/>
      <c r="K101" s="1"/>
      <c r="L101" s="1"/>
      <c r="M101" s="1"/>
    </row>
    <row r="102" spans="1:13" s="7" customFormat="1" ht="17.25">
      <c r="A102" s="22" t="s">
        <v>442</v>
      </c>
      <c r="B102" s="65">
        <v>0</v>
      </c>
      <c r="C102" s="65">
        <v>0</v>
      </c>
      <c r="D102" s="65">
        <v>0</v>
      </c>
      <c r="E102" s="65">
        <v>4000</v>
      </c>
      <c r="F102" s="105">
        <v>-1</v>
      </c>
      <c r="G102" s="65">
        <v>0</v>
      </c>
      <c r="H102" s="1"/>
      <c r="I102" s="1"/>
      <c r="J102" s="1"/>
      <c r="K102" s="1"/>
      <c r="L102" s="1"/>
      <c r="M102" s="1"/>
    </row>
    <row r="103" spans="1:13" s="7" customFormat="1" ht="17.25">
      <c r="A103" s="22" t="s">
        <v>446</v>
      </c>
      <c r="B103" s="65">
        <v>0</v>
      </c>
      <c r="C103" s="65">
        <v>0</v>
      </c>
      <c r="D103" s="65">
        <v>0</v>
      </c>
      <c r="E103" s="65">
        <v>19000</v>
      </c>
      <c r="F103" s="105">
        <v>-1</v>
      </c>
      <c r="G103" s="65">
        <v>0</v>
      </c>
      <c r="H103" s="1"/>
      <c r="I103" s="1"/>
      <c r="J103" s="1"/>
      <c r="K103" s="1"/>
      <c r="L103" s="1"/>
      <c r="M103" s="1"/>
    </row>
    <row r="104" spans="1:13" s="7" customFormat="1" ht="17.25">
      <c r="A104" s="22" t="s">
        <v>443</v>
      </c>
      <c r="B104" s="65">
        <v>0</v>
      </c>
      <c r="C104" s="65">
        <v>0</v>
      </c>
      <c r="D104" s="65">
        <v>0</v>
      </c>
      <c r="E104" s="65">
        <v>9000</v>
      </c>
      <c r="F104" s="105">
        <v>-1</v>
      </c>
      <c r="G104" s="65">
        <v>0</v>
      </c>
      <c r="H104" s="1"/>
      <c r="I104" s="1"/>
      <c r="J104" s="1"/>
      <c r="K104" s="1"/>
      <c r="L104" s="1"/>
      <c r="M104" s="1"/>
    </row>
    <row r="105" spans="1:13" s="7" customFormat="1" ht="17.25">
      <c r="A105" s="22" t="s">
        <v>74</v>
      </c>
      <c r="B105" s="65">
        <v>0</v>
      </c>
      <c r="C105" s="65">
        <v>0</v>
      </c>
      <c r="D105" s="65">
        <v>28000</v>
      </c>
      <c r="E105" s="65">
        <v>0</v>
      </c>
      <c r="F105" s="175" t="s">
        <v>318</v>
      </c>
      <c r="G105" s="65">
        <v>0</v>
      </c>
      <c r="H105" s="1"/>
      <c r="I105" s="1"/>
      <c r="J105" s="1"/>
      <c r="K105" s="1"/>
      <c r="L105" s="1"/>
      <c r="M105" s="1"/>
    </row>
    <row r="106" spans="1:13" s="7" customFormat="1" ht="17.25">
      <c r="A106" s="6" t="s">
        <v>75</v>
      </c>
      <c r="B106" s="66"/>
      <c r="C106" s="66"/>
      <c r="D106" s="66"/>
      <c r="E106" s="66"/>
      <c r="F106" s="166"/>
      <c r="G106" s="66"/>
      <c r="H106" s="1"/>
      <c r="I106" s="1"/>
      <c r="J106" s="1"/>
      <c r="K106" s="1"/>
      <c r="L106" s="1"/>
      <c r="M106" s="1"/>
    </row>
    <row r="107" spans="1:13" s="7" customFormat="1" ht="17.25">
      <c r="A107" s="27" t="s">
        <v>298</v>
      </c>
      <c r="B107" s="200">
        <v>0</v>
      </c>
      <c r="C107" s="200">
        <v>35000</v>
      </c>
      <c r="D107" s="200">
        <v>0</v>
      </c>
      <c r="E107" s="200">
        <v>0</v>
      </c>
      <c r="F107" s="203">
        <v>0</v>
      </c>
      <c r="G107" s="200">
        <v>0</v>
      </c>
      <c r="H107" s="1"/>
      <c r="I107" s="1"/>
      <c r="J107" s="1"/>
      <c r="K107" s="1"/>
      <c r="L107" s="1"/>
      <c r="M107" s="1"/>
    </row>
    <row r="108" spans="1:13" s="7" customFormat="1" ht="17.25">
      <c r="A108" s="26" t="s">
        <v>299</v>
      </c>
      <c r="B108" s="202"/>
      <c r="C108" s="202"/>
      <c r="D108" s="202"/>
      <c r="E108" s="202"/>
      <c r="F108" s="202"/>
      <c r="G108" s="202"/>
      <c r="H108" s="1"/>
      <c r="I108" s="1"/>
      <c r="J108" s="1"/>
      <c r="K108" s="1"/>
      <c r="L108" s="1"/>
      <c r="M108" s="1"/>
    </row>
    <row r="109" spans="1:13" s="7" customFormat="1" ht="17.25">
      <c r="A109" s="4" t="s">
        <v>298</v>
      </c>
      <c r="B109" s="200">
        <v>0</v>
      </c>
      <c r="C109" s="200">
        <v>98000</v>
      </c>
      <c r="D109" s="200">
        <v>0</v>
      </c>
      <c r="E109" s="200">
        <v>0</v>
      </c>
      <c r="F109" s="203">
        <v>0</v>
      </c>
      <c r="G109" s="200">
        <v>0</v>
      </c>
      <c r="H109" s="1"/>
      <c r="I109" s="1"/>
      <c r="J109" s="1"/>
      <c r="K109" s="1"/>
      <c r="L109" s="1"/>
      <c r="M109" s="1"/>
    </row>
    <row r="110" spans="1:13" s="7" customFormat="1" ht="17.25">
      <c r="A110" s="31" t="s">
        <v>300</v>
      </c>
      <c r="B110" s="202"/>
      <c r="C110" s="202"/>
      <c r="D110" s="202"/>
      <c r="E110" s="202"/>
      <c r="F110" s="202"/>
      <c r="G110" s="202"/>
      <c r="H110" s="1"/>
      <c r="I110" s="1"/>
      <c r="J110" s="1"/>
      <c r="K110" s="1"/>
      <c r="L110" s="1"/>
      <c r="M110" s="1"/>
    </row>
    <row r="111" spans="1:13" s="7" customFormat="1" ht="17.25">
      <c r="A111" s="24" t="s">
        <v>76</v>
      </c>
      <c r="B111" s="56">
        <v>0</v>
      </c>
      <c r="C111" s="55">
        <v>0</v>
      </c>
      <c r="D111" s="56">
        <v>12000</v>
      </c>
      <c r="E111" s="54">
        <v>0</v>
      </c>
      <c r="F111" s="105">
        <v>0</v>
      </c>
      <c r="G111" s="54">
        <v>0</v>
      </c>
      <c r="H111" s="1"/>
      <c r="I111" s="1"/>
      <c r="J111" s="1"/>
      <c r="K111" s="1"/>
      <c r="L111" s="1"/>
      <c r="M111" s="1"/>
    </row>
    <row r="112" spans="1:13" s="7" customFormat="1" ht="17.25">
      <c r="A112" s="8" t="s">
        <v>77</v>
      </c>
      <c r="B112" s="56"/>
      <c r="C112" s="56"/>
      <c r="D112" s="54"/>
      <c r="E112" s="54"/>
      <c r="F112" s="176"/>
      <c r="G112" s="54"/>
      <c r="H112" s="1"/>
      <c r="I112" s="1"/>
      <c r="J112" s="1"/>
      <c r="K112" s="1"/>
      <c r="L112" s="1"/>
      <c r="M112" s="1"/>
    </row>
    <row r="113" spans="1:13" s="7" customFormat="1" ht="17.25">
      <c r="A113" s="4" t="s">
        <v>78</v>
      </c>
      <c r="B113" s="83">
        <v>11380</v>
      </c>
      <c r="C113" s="83">
        <v>24000</v>
      </c>
      <c r="D113" s="83">
        <v>0</v>
      </c>
      <c r="E113" s="83">
        <v>0</v>
      </c>
      <c r="F113" s="131">
        <v>0</v>
      </c>
      <c r="G113" s="83">
        <v>0</v>
      </c>
      <c r="H113" s="1"/>
      <c r="I113" s="1"/>
      <c r="J113" s="1"/>
      <c r="K113" s="1"/>
      <c r="L113" s="1"/>
      <c r="M113" s="1"/>
    </row>
    <row r="114" spans="1:13" s="7" customFormat="1" ht="17.25">
      <c r="A114" s="18" t="s">
        <v>80</v>
      </c>
      <c r="B114" s="66"/>
      <c r="C114" s="66"/>
      <c r="D114" s="66"/>
      <c r="E114" s="66"/>
      <c r="F114" s="66"/>
      <c r="G114" s="66"/>
      <c r="H114" s="1"/>
      <c r="I114" s="1"/>
      <c r="J114" s="1"/>
      <c r="K114" s="1"/>
      <c r="L114" s="1"/>
      <c r="M114" s="1"/>
    </row>
    <row r="115" spans="1:13" s="7" customFormat="1" ht="17.25">
      <c r="A115" s="8" t="s">
        <v>587</v>
      </c>
      <c r="B115" s="66">
        <v>0</v>
      </c>
      <c r="C115" s="66">
        <v>0</v>
      </c>
      <c r="D115" s="66">
        <v>0</v>
      </c>
      <c r="E115" s="66">
        <v>0</v>
      </c>
      <c r="F115" s="172">
        <v>1</v>
      </c>
      <c r="G115" s="66">
        <v>20000</v>
      </c>
      <c r="H115" s="1"/>
      <c r="I115" s="1"/>
      <c r="J115" s="1"/>
      <c r="K115" s="1"/>
      <c r="L115" s="1"/>
      <c r="M115" s="1"/>
    </row>
    <row r="116" spans="1:13" s="7" customFormat="1" ht="17.25">
      <c r="A116" s="8" t="s">
        <v>79</v>
      </c>
      <c r="B116" s="65">
        <f>10800+8300</f>
        <v>19100</v>
      </c>
      <c r="C116" s="65">
        <v>0</v>
      </c>
      <c r="D116" s="65">
        <v>0</v>
      </c>
      <c r="E116" s="65">
        <v>0</v>
      </c>
      <c r="F116" s="119">
        <v>0</v>
      </c>
      <c r="G116" s="65">
        <v>0</v>
      </c>
      <c r="H116" s="1"/>
      <c r="I116" s="1"/>
      <c r="J116" s="1"/>
      <c r="K116" s="1"/>
      <c r="L116" s="1"/>
      <c r="M116" s="1"/>
    </row>
    <row r="117" spans="1:13" s="7" customFormat="1" ht="17.25">
      <c r="A117" s="8" t="s">
        <v>444</v>
      </c>
      <c r="B117" s="66">
        <v>0</v>
      </c>
      <c r="C117" s="66">
        <v>0</v>
      </c>
      <c r="D117" s="66">
        <v>0</v>
      </c>
      <c r="E117" s="66">
        <v>15000</v>
      </c>
      <c r="F117" s="105">
        <v>-1</v>
      </c>
      <c r="G117" s="66">
        <v>0</v>
      </c>
      <c r="H117" s="1"/>
      <c r="I117" s="1"/>
      <c r="J117" s="1"/>
      <c r="K117" s="1"/>
      <c r="L117" s="1"/>
      <c r="M117" s="1"/>
    </row>
    <row r="118" spans="1:13" s="7" customFormat="1" ht="17.25">
      <c r="A118" s="8" t="s">
        <v>445</v>
      </c>
      <c r="B118" s="66">
        <v>0</v>
      </c>
      <c r="C118" s="66">
        <v>0</v>
      </c>
      <c r="D118" s="66">
        <v>0</v>
      </c>
      <c r="E118" s="66">
        <v>15000</v>
      </c>
      <c r="F118" s="105">
        <v>-1</v>
      </c>
      <c r="G118" s="66">
        <v>0</v>
      </c>
      <c r="H118" s="1"/>
      <c r="I118" s="1"/>
      <c r="J118" s="1"/>
      <c r="K118" s="1"/>
      <c r="L118" s="1"/>
      <c r="M118" s="1"/>
    </row>
    <row r="119" spans="1:13" s="7" customFormat="1" ht="17.25">
      <c r="A119" s="18" t="s">
        <v>119</v>
      </c>
      <c r="B119" s="66"/>
      <c r="C119" s="66"/>
      <c r="D119" s="66"/>
      <c r="E119" s="66"/>
      <c r="F119" s="66"/>
      <c r="G119" s="66"/>
      <c r="H119" s="1"/>
      <c r="I119" s="1"/>
      <c r="J119" s="1"/>
      <c r="K119" s="1"/>
      <c r="L119" s="1"/>
      <c r="M119" s="1"/>
    </row>
    <row r="120" spans="1:13" s="7" customFormat="1" ht="17.25">
      <c r="A120" s="8" t="s">
        <v>592</v>
      </c>
      <c r="B120" s="66">
        <v>0</v>
      </c>
      <c r="C120" s="66">
        <v>0</v>
      </c>
      <c r="D120" s="66">
        <v>0</v>
      </c>
      <c r="E120" s="66">
        <v>0</v>
      </c>
      <c r="F120" s="172">
        <v>1</v>
      </c>
      <c r="G120" s="66">
        <v>4300</v>
      </c>
      <c r="H120" s="1"/>
      <c r="I120" s="1"/>
      <c r="J120" s="1"/>
      <c r="K120" s="1"/>
      <c r="L120" s="1"/>
      <c r="M120" s="1"/>
    </row>
    <row r="121" spans="1:13" s="7" customFormat="1" ht="17.25">
      <c r="A121" s="8" t="s">
        <v>593</v>
      </c>
      <c r="B121" s="66">
        <v>0</v>
      </c>
      <c r="C121" s="66">
        <v>0</v>
      </c>
      <c r="D121" s="66">
        <v>0</v>
      </c>
      <c r="E121" s="66">
        <v>0</v>
      </c>
      <c r="F121" s="172">
        <v>1</v>
      </c>
      <c r="G121" s="66">
        <v>5700</v>
      </c>
      <c r="H121" s="1"/>
      <c r="I121" s="1"/>
      <c r="J121" s="1"/>
      <c r="K121" s="1"/>
      <c r="L121" s="1"/>
      <c r="M121" s="1"/>
    </row>
    <row r="122" spans="1:13" s="7" customFormat="1" ht="17.25">
      <c r="A122" s="8" t="s">
        <v>594</v>
      </c>
      <c r="B122" s="65">
        <v>0</v>
      </c>
      <c r="C122" s="65">
        <v>0</v>
      </c>
      <c r="D122" s="65">
        <v>0</v>
      </c>
      <c r="E122" s="65">
        <v>0</v>
      </c>
      <c r="F122" s="198">
        <v>1</v>
      </c>
      <c r="G122" s="65">
        <v>50000</v>
      </c>
      <c r="H122" s="1"/>
      <c r="I122" s="1"/>
      <c r="J122" s="1"/>
      <c r="K122" s="1"/>
      <c r="L122" s="1"/>
      <c r="M122" s="1"/>
    </row>
    <row r="123" spans="1:13" s="7" customFormat="1" ht="17.25">
      <c r="A123" s="8" t="s">
        <v>595</v>
      </c>
      <c r="B123" s="65">
        <f>10800+8300</f>
        <v>19100</v>
      </c>
      <c r="C123" s="65">
        <v>14000</v>
      </c>
      <c r="D123" s="65">
        <v>0</v>
      </c>
      <c r="E123" s="65">
        <v>0</v>
      </c>
      <c r="F123" s="75" t="s">
        <v>318</v>
      </c>
      <c r="G123" s="65">
        <v>18000</v>
      </c>
      <c r="H123" s="1"/>
      <c r="I123" s="1"/>
      <c r="J123" s="1"/>
      <c r="K123" s="1"/>
      <c r="L123" s="1"/>
      <c r="M123" s="1"/>
    </row>
    <row r="124" spans="1:13" s="7" customFormat="1" ht="17.25">
      <c r="A124" s="6" t="s">
        <v>81</v>
      </c>
      <c r="B124" s="66">
        <v>80215</v>
      </c>
      <c r="C124" s="66">
        <f>35288+62793.35</f>
        <v>98081.35</v>
      </c>
      <c r="D124" s="66">
        <f>120000-53620</f>
        <v>66380</v>
      </c>
      <c r="E124" s="66">
        <v>100000</v>
      </c>
      <c r="F124" s="105">
        <v>-1</v>
      </c>
      <c r="G124" s="66">
        <v>100000</v>
      </c>
      <c r="H124" s="1"/>
      <c r="I124" s="1"/>
      <c r="J124" s="1"/>
      <c r="K124" s="1"/>
      <c r="L124" s="1"/>
    </row>
    <row r="125" spans="1:13" s="7" customFormat="1" ht="17.25">
      <c r="A125" s="32" t="s">
        <v>82</v>
      </c>
      <c r="B125" s="60">
        <f>B113+B116+B124+B123</f>
        <v>129795</v>
      </c>
      <c r="C125" s="60">
        <f>C96+C97+C98+C99+C102+C103+112+C105+C107+C108+C109+C110+C111+C112+C113+C116+C117+C118+C124+C123</f>
        <v>395193.35</v>
      </c>
      <c r="D125" s="60">
        <f>D105+D111+D124</f>
        <v>106380</v>
      </c>
      <c r="E125" s="60">
        <f>E96+E97+E98+E99+E102+E103+E104+E105+E106+E107+E108+E109+E110+E111+E112+E113+E116+E117+E118+E124</f>
        <v>179700</v>
      </c>
      <c r="F125" s="60"/>
      <c r="G125" s="60">
        <f>G96+G97+G98+G99+G102+G103+G104+G105+G106+G107+G108+G109+G110+G111+G112+G113+G116+G117+G118+G124+G120+G115+G100+G101+G121+G122+G123</f>
        <v>223800</v>
      </c>
      <c r="H125" s="1"/>
      <c r="I125" s="1"/>
      <c r="J125" s="1"/>
      <c r="K125" s="1"/>
      <c r="L125" s="1"/>
    </row>
    <row r="126" spans="1:13" s="7" customFormat="1" ht="17.25">
      <c r="A126" s="11" t="s">
        <v>83</v>
      </c>
      <c r="B126" s="57"/>
      <c r="C126" s="57"/>
      <c r="D126" s="57"/>
      <c r="E126" s="57"/>
      <c r="F126" s="57"/>
      <c r="G126" s="57"/>
      <c r="H126" s="1"/>
      <c r="I126" s="1"/>
      <c r="J126" s="1"/>
      <c r="K126" s="1"/>
      <c r="L126" s="1"/>
    </row>
    <row r="127" spans="1:13" s="7" customFormat="1" ht="17.25">
      <c r="A127" s="8" t="s">
        <v>84</v>
      </c>
      <c r="B127" s="65"/>
      <c r="C127" s="65"/>
      <c r="D127" s="65"/>
      <c r="E127" s="65"/>
      <c r="F127" s="65"/>
      <c r="G127" s="65"/>
      <c r="H127" s="1"/>
      <c r="I127" s="1"/>
      <c r="J127" s="1"/>
      <c r="K127" s="1"/>
      <c r="L127" s="1"/>
    </row>
    <row r="128" spans="1:13" s="7" customFormat="1" ht="17.25">
      <c r="A128" s="24" t="s">
        <v>85</v>
      </c>
      <c r="B128" s="66">
        <v>0</v>
      </c>
      <c r="C128" s="66">
        <v>1443000</v>
      </c>
      <c r="D128" s="66">
        <v>0</v>
      </c>
      <c r="E128" s="66">
        <v>0</v>
      </c>
      <c r="F128" s="175"/>
      <c r="G128" s="66">
        <v>0</v>
      </c>
      <c r="H128" s="1"/>
      <c r="I128" s="1"/>
      <c r="J128" s="1"/>
      <c r="K128" s="1"/>
      <c r="L128" s="1"/>
    </row>
    <row r="129" spans="1:13" s="7" customFormat="1" ht="17.25">
      <c r="A129" s="8" t="s">
        <v>86</v>
      </c>
      <c r="B129" s="65"/>
      <c r="C129" s="65"/>
      <c r="D129" s="65"/>
      <c r="E129" s="65"/>
      <c r="F129" s="176"/>
      <c r="G129" s="65"/>
      <c r="H129" s="1"/>
      <c r="I129" s="1"/>
      <c r="J129" s="1"/>
      <c r="K129" s="1"/>
      <c r="L129" s="1"/>
    </row>
    <row r="130" spans="1:13" s="7" customFormat="1" ht="17.25">
      <c r="A130" s="5" t="s">
        <v>303</v>
      </c>
      <c r="B130" s="66">
        <v>0</v>
      </c>
      <c r="C130" s="66">
        <v>225500</v>
      </c>
      <c r="D130" s="66">
        <f>66667-1000</f>
        <v>65667</v>
      </c>
      <c r="E130" s="66">
        <v>0</v>
      </c>
      <c r="F130" s="105">
        <v>0</v>
      </c>
      <c r="G130" s="66">
        <v>0</v>
      </c>
      <c r="H130" s="1"/>
      <c r="I130" s="1"/>
      <c r="J130" s="1"/>
      <c r="K130" s="1"/>
      <c r="L130" s="1"/>
    </row>
    <row r="131" spans="1:13" ht="17.25">
      <c r="A131" s="32" t="s">
        <v>87</v>
      </c>
      <c r="B131" s="97">
        <v>0</v>
      </c>
      <c r="C131" s="97">
        <f>C128+C129+C130</f>
        <v>1668500</v>
      </c>
      <c r="D131" s="97">
        <f>D128+D129+D130</f>
        <v>65667</v>
      </c>
      <c r="E131" s="97">
        <v>0</v>
      </c>
      <c r="F131" s="98"/>
      <c r="G131" s="97">
        <v>0</v>
      </c>
      <c r="H131" s="1"/>
      <c r="I131" s="1"/>
      <c r="J131" s="1"/>
      <c r="K131" s="1"/>
      <c r="L131" s="1"/>
    </row>
    <row r="132" spans="1:13" ht="17.25">
      <c r="A132" s="16" t="s">
        <v>88</v>
      </c>
      <c r="B132" s="93">
        <f>B125</f>
        <v>129795</v>
      </c>
      <c r="C132" s="93">
        <f>C125+C131</f>
        <v>2063693.35</v>
      </c>
      <c r="D132" s="93">
        <f>D125+D131</f>
        <v>172047</v>
      </c>
      <c r="E132" s="93">
        <f>E125+E131</f>
        <v>179700</v>
      </c>
      <c r="F132" s="73"/>
      <c r="G132" s="93">
        <f>G125+G131</f>
        <v>223800</v>
      </c>
      <c r="H132" s="1"/>
      <c r="I132" s="1"/>
      <c r="J132" s="1"/>
      <c r="K132" s="1"/>
      <c r="L132" s="1"/>
    </row>
    <row r="133" spans="1:13" ht="17.25">
      <c r="A133" s="29" t="s">
        <v>89</v>
      </c>
      <c r="B133" s="66"/>
      <c r="C133" s="66"/>
      <c r="D133" s="66"/>
      <c r="E133" s="66"/>
      <c r="F133" s="166"/>
      <c r="G133" s="66"/>
      <c r="H133" s="1"/>
      <c r="I133" s="1"/>
      <c r="J133" s="1"/>
      <c r="K133" s="1"/>
      <c r="L133" s="1"/>
    </row>
    <row r="134" spans="1:13" ht="17.25">
      <c r="A134" s="30" t="s">
        <v>90</v>
      </c>
      <c r="B134" s="83"/>
      <c r="C134" s="83"/>
      <c r="D134" s="83"/>
      <c r="E134" s="83"/>
      <c r="F134" s="164"/>
      <c r="G134" s="83"/>
      <c r="H134" s="1"/>
      <c r="I134" s="1"/>
      <c r="J134" s="1"/>
      <c r="K134" s="1"/>
      <c r="L134" s="1"/>
    </row>
    <row r="135" spans="1:13" ht="17.25">
      <c r="A135" s="22" t="s">
        <v>91</v>
      </c>
      <c r="B135" s="65">
        <v>18000</v>
      </c>
      <c r="C135" s="65">
        <v>20000</v>
      </c>
      <c r="D135" s="65">
        <v>20000</v>
      </c>
      <c r="E135" s="65">
        <v>40000</v>
      </c>
      <c r="F135" s="59">
        <v>0</v>
      </c>
      <c r="G135" s="65">
        <v>0</v>
      </c>
      <c r="H135" s="1"/>
      <c r="I135" s="1"/>
      <c r="J135" s="1"/>
      <c r="K135" s="1"/>
      <c r="L135" s="1"/>
    </row>
    <row r="136" spans="1:13" ht="17.25">
      <c r="A136" s="24" t="s">
        <v>588</v>
      </c>
      <c r="B136" s="66">
        <v>0</v>
      </c>
      <c r="C136" s="66">
        <v>0</v>
      </c>
      <c r="D136" s="66">
        <v>0</v>
      </c>
      <c r="E136" s="66">
        <v>0</v>
      </c>
      <c r="F136" s="172">
        <v>1</v>
      </c>
      <c r="G136" s="66">
        <v>20000</v>
      </c>
      <c r="H136" s="1"/>
      <c r="I136" s="1"/>
      <c r="J136" s="1"/>
      <c r="K136" s="1"/>
      <c r="L136" s="1"/>
    </row>
    <row r="137" spans="1:13" ht="17.25">
      <c r="A137" s="24" t="s">
        <v>589</v>
      </c>
      <c r="B137" s="66"/>
      <c r="C137" s="66"/>
      <c r="D137" s="66"/>
      <c r="E137" s="66"/>
      <c r="F137" s="172"/>
      <c r="G137" s="66"/>
      <c r="H137" s="1"/>
      <c r="I137" s="1"/>
      <c r="J137" s="1"/>
      <c r="K137" s="1"/>
      <c r="L137" s="1"/>
    </row>
    <row r="138" spans="1:13" ht="17.25">
      <c r="A138" s="15" t="s">
        <v>92</v>
      </c>
      <c r="B138" s="92">
        <v>18000</v>
      </c>
      <c r="C138" s="92">
        <v>20000</v>
      </c>
      <c r="D138" s="92">
        <f>D135</f>
        <v>20000</v>
      </c>
      <c r="E138" s="92">
        <v>40000</v>
      </c>
      <c r="F138" s="166"/>
      <c r="G138" s="92">
        <f>G136</f>
        <v>20000</v>
      </c>
      <c r="H138" s="1"/>
      <c r="I138" s="1"/>
      <c r="J138" s="1"/>
      <c r="K138" s="1"/>
      <c r="L138" s="1"/>
    </row>
    <row r="139" spans="1:13" ht="17.25">
      <c r="A139" s="16" t="s">
        <v>93</v>
      </c>
      <c r="B139" s="97">
        <v>18000</v>
      </c>
      <c r="C139" s="97">
        <v>20000</v>
      </c>
      <c r="D139" s="97">
        <f>D138</f>
        <v>20000</v>
      </c>
      <c r="E139" s="97">
        <v>40000</v>
      </c>
      <c r="F139" s="164"/>
      <c r="G139" s="97">
        <f>G136</f>
        <v>20000</v>
      </c>
    </row>
    <row r="140" spans="1:13" ht="17.25">
      <c r="A140" s="23" t="s">
        <v>94</v>
      </c>
      <c r="B140" s="65"/>
      <c r="C140" s="65"/>
      <c r="D140" s="65"/>
      <c r="E140" s="65"/>
      <c r="F140" s="176"/>
      <c r="G140" s="65"/>
    </row>
    <row r="141" spans="1:13" ht="17.25">
      <c r="A141" s="22" t="s">
        <v>95</v>
      </c>
      <c r="B141" s="56"/>
      <c r="C141" s="56"/>
      <c r="D141" s="56"/>
      <c r="E141" s="56"/>
      <c r="F141" s="176"/>
      <c r="G141" s="56"/>
    </row>
    <row r="142" spans="1:13" ht="17.25">
      <c r="A142" s="22" t="s">
        <v>96</v>
      </c>
      <c r="B142" s="58">
        <v>35000</v>
      </c>
      <c r="C142" s="58">
        <v>40000</v>
      </c>
      <c r="D142" s="58">
        <v>30296.400000000001</v>
      </c>
      <c r="E142" s="58">
        <v>20000</v>
      </c>
      <c r="F142" s="172">
        <v>-1</v>
      </c>
      <c r="G142" s="58">
        <v>0</v>
      </c>
    </row>
    <row r="143" spans="1:13" ht="17.25">
      <c r="A143" s="22" t="s">
        <v>97</v>
      </c>
      <c r="B143" s="56">
        <v>0</v>
      </c>
      <c r="C143" s="56">
        <v>0</v>
      </c>
      <c r="D143" s="56">
        <v>0</v>
      </c>
      <c r="E143" s="56">
        <v>20000</v>
      </c>
      <c r="F143" s="59">
        <v>1</v>
      </c>
      <c r="G143" s="56">
        <v>20000</v>
      </c>
    </row>
    <row r="144" spans="1:13" s="7" customFormat="1" ht="17.25">
      <c r="A144" s="16" t="s">
        <v>98</v>
      </c>
      <c r="B144" s="93">
        <v>35000</v>
      </c>
      <c r="C144" s="93">
        <f>C142+C143</f>
        <v>40000</v>
      </c>
      <c r="D144" s="93">
        <f>D142+D143</f>
        <v>30296.400000000001</v>
      </c>
      <c r="E144" s="93">
        <f>E142+E143</f>
        <v>40000</v>
      </c>
      <c r="F144" s="73"/>
      <c r="G144" s="93">
        <f>G143</f>
        <v>20000</v>
      </c>
      <c r="H144" s="1"/>
      <c r="I144" s="1"/>
      <c r="J144" s="1"/>
      <c r="K144" s="1"/>
      <c r="L144" s="1"/>
      <c r="M144" s="1"/>
    </row>
    <row r="145" spans="1:13" s="7" customFormat="1" ht="17.25">
      <c r="A145" s="16" t="s">
        <v>99</v>
      </c>
      <c r="B145" s="93">
        <v>35000</v>
      </c>
      <c r="C145" s="93">
        <f>C144</f>
        <v>40000</v>
      </c>
      <c r="D145" s="93">
        <f>D144</f>
        <v>30296.400000000001</v>
      </c>
      <c r="E145" s="93">
        <f>E144</f>
        <v>40000</v>
      </c>
      <c r="F145" s="73"/>
      <c r="G145" s="93">
        <f>G143</f>
        <v>20000</v>
      </c>
      <c r="H145" s="1"/>
      <c r="I145" s="1"/>
      <c r="J145" s="1"/>
      <c r="K145" s="1"/>
      <c r="L145" s="1"/>
      <c r="M145" s="1"/>
    </row>
    <row r="146" spans="1:13" s="7" customFormat="1" ht="17.25">
      <c r="A146" s="37" t="s">
        <v>100</v>
      </c>
      <c r="B146" s="102">
        <f>B31+B92+B132+B139+B145</f>
        <v>9843715.3000000007</v>
      </c>
      <c r="C146" s="102">
        <f>C31+C92+C132+C139+C145</f>
        <v>11520672.52</v>
      </c>
      <c r="D146" s="102">
        <f>D31+D92+D132+D139+D145</f>
        <v>9631346.290000001</v>
      </c>
      <c r="E146" s="102">
        <f>E31+E92+E132+E139+E145</f>
        <v>9064450</v>
      </c>
      <c r="F146" s="102"/>
      <c r="G146" s="102">
        <f>G31+G92+G132+G139+G145</f>
        <v>9310820</v>
      </c>
      <c r="H146" s="1"/>
      <c r="I146" s="1"/>
      <c r="J146" s="1"/>
      <c r="K146" s="1"/>
      <c r="L146" s="1"/>
      <c r="M146" s="1"/>
    </row>
    <row r="147" spans="1:13" s="7" customFormat="1" ht="17.25">
      <c r="A147" s="30" t="s">
        <v>101</v>
      </c>
      <c r="B147" s="19"/>
      <c r="C147" s="19"/>
      <c r="D147" s="19"/>
      <c r="E147" s="19"/>
      <c r="F147" s="19"/>
      <c r="G147" s="19"/>
      <c r="H147" s="1"/>
      <c r="I147" s="1"/>
      <c r="J147" s="1"/>
      <c r="K147" s="1"/>
      <c r="L147" s="1"/>
      <c r="M147" s="1"/>
    </row>
    <row r="148" spans="1:13" s="7" customFormat="1" ht="17.25">
      <c r="A148" s="21" t="s">
        <v>33</v>
      </c>
      <c r="B148" s="18"/>
      <c r="C148" s="18"/>
      <c r="D148" s="18"/>
      <c r="E148" s="18"/>
      <c r="F148" s="18"/>
      <c r="G148" s="18"/>
      <c r="H148" s="1"/>
      <c r="I148" s="1"/>
      <c r="J148" s="1"/>
      <c r="K148" s="1"/>
      <c r="L148" s="1"/>
      <c r="M148" s="1"/>
    </row>
    <row r="149" spans="1:13" s="7" customFormat="1" ht="17.25">
      <c r="A149" s="12" t="s">
        <v>41</v>
      </c>
      <c r="B149" s="19"/>
      <c r="C149" s="19"/>
      <c r="D149" s="19"/>
      <c r="E149" s="19"/>
      <c r="F149" s="19"/>
      <c r="G149" s="19"/>
      <c r="H149" s="1"/>
      <c r="I149" s="1"/>
      <c r="J149" s="1"/>
      <c r="K149" s="1"/>
      <c r="L149" s="1"/>
      <c r="M149" s="1"/>
    </row>
    <row r="150" spans="1:13" s="7" customFormat="1" ht="17.25">
      <c r="A150" s="51" t="s">
        <v>44</v>
      </c>
      <c r="B150" s="200"/>
      <c r="C150" s="200"/>
      <c r="D150" s="200"/>
      <c r="E150" s="200"/>
      <c r="F150" s="200"/>
      <c r="G150" s="200"/>
      <c r="H150" s="1"/>
      <c r="I150" s="1"/>
      <c r="J150" s="1"/>
      <c r="K150" s="1"/>
      <c r="L150" s="1"/>
      <c r="M150" s="1"/>
    </row>
    <row r="151" spans="1:13" s="7" customFormat="1" ht="17.25">
      <c r="A151" s="24" t="s">
        <v>45</v>
      </c>
      <c r="B151" s="202"/>
      <c r="C151" s="202"/>
      <c r="D151" s="202"/>
      <c r="E151" s="202"/>
      <c r="F151" s="202"/>
      <c r="G151" s="202"/>
      <c r="H151" s="1"/>
      <c r="I151" s="1"/>
      <c r="J151" s="1"/>
      <c r="K151" s="1"/>
      <c r="L151" s="1"/>
      <c r="M151" s="1"/>
    </row>
    <row r="152" spans="1:13" s="7" customFormat="1" ht="17.25">
      <c r="A152" s="4" t="s">
        <v>102</v>
      </c>
      <c r="B152" s="56">
        <v>21100</v>
      </c>
      <c r="C152" s="55">
        <v>1665</v>
      </c>
      <c r="D152" s="56">
        <v>0</v>
      </c>
      <c r="E152" s="54">
        <v>0</v>
      </c>
      <c r="F152" s="75"/>
      <c r="G152" s="54">
        <v>0</v>
      </c>
      <c r="H152" s="1"/>
      <c r="I152" s="1"/>
      <c r="J152" s="1"/>
      <c r="K152" s="1"/>
      <c r="L152" s="1"/>
      <c r="M152" s="1"/>
    </row>
    <row r="153" spans="1:13" s="7" customFormat="1" ht="17.25">
      <c r="A153" s="4" t="s">
        <v>447</v>
      </c>
      <c r="B153" s="200">
        <v>0</v>
      </c>
      <c r="C153" s="200">
        <v>0</v>
      </c>
      <c r="D153" s="200">
        <v>0</v>
      </c>
      <c r="E153" s="200">
        <v>2000</v>
      </c>
      <c r="F153" s="211">
        <v>-1</v>
      </c>
      <c r="G153" s="200">
        <v>0</v>
      </c>
      <c r="H153" s="1"/>
      <c r="I153" s="1"/>
      <c r="J153" s="1"/>
      <c r="K153" s="1"/>
      <c r="L153" s="1"/>
      <c r="M153" s="1"/>
    </row>
    <row r="154" spans="1:13" s="7" customFormat="1" ht="17.25">
      <c r="A154" s="18" t="s">
        <v>448</v>
      </c>
      <c r="B154" s="202"/>
      <c r="C154" s="202"/>
      <c r="D154" s="202"/>
      <c r="E154" s="202"/>
      <c r="F154" s="223"/>
      <c r="G154" s="202"/>
      <c r="H154" s="1"/>
      <c r="I154" s="1"/>
      <c r="J154" s="1"/>
      <c r="K154" s="1"/>
      <c r="L154" s="1"/>
      <c r="M154" s="1"/>
    </row>
    <row r="155" spans="1:13" s="7" customFormat="1" ht="17.25">
      <c r="A155" s="5" t="s">
        <v>590</v>
      </c>
      <c r="B155" s="200">
        <v>0</v>
      </c>
      <c r="C155" s="200">
        <v>0</v>
      </c>
      <c r="D155" s="200">
        <v>7858</v>
      </c>
      <c r="E155" s="200">
        <v>0</v>
      </c>
      <c r="F155" s="203">
        <v>1</v>
      </c>
      <c r="G155" s="200">
        <v>10000</v>
      </c>
      <c r="H155" s="1"/>
      <c r="I155" s="1"/>
      <c r="J155" s="1"/>
      <c r="K155" s="1"/>
      <c r="L155" s="1"/>
      <c r="M155" s="1"/>
    </row>
    <row r="156" spans="1:13" s="7" customFormat="1" ht="17.25">
      <c r="A156" s="18" t="s">
        <v>591</v>
      </c>
      <c r="B156" s="202"/>
      <c r="C156" s="202"/>
      <c r="D156" s="202"/>
      <c r="E156" s="202"/>
      <c r="F156" s="202"/>
      <c r="G156" s="202"/>
      <c r="H156" s="1"/>
      <c r="I156" s="1"/>
      <c r="J156" s="1"/>
      <c r="K156" s="1"/>
      <c r="L156" s="1"/>
      <c r="M156" s="1"/>
    </row>
    <row r="157" spans="1:13" s="7" customFormat="1" ht="17.25">
      <c r="A157" s="15" t="s">
        <v>50</v>
      </c>
      <c r="B157" s="93">
        <v>21100</v>
      </c>
      <c r="C157" s="93">
        <v>1665</v>
      </c>
      <c r="D157" s="93">
        <f>D152+D153+D155</f>
        <v>7858</v>
      </c>
      <c r="E157" s="93">
        <f>E153</f>
        <v>2000</v>
      </c>
      <c r="F157" s="73"/>
      <c r="G157" s="93">
        <f>G155</f>
        <v>10000</v>
      </c>
      <c r="H157" s="1"/>
      <c r="I157" s="1"/>
      <c r="J157" s="1"/>
      <c r="K157" s="1"/>
      <c r="L157" s="1"/>
      <c r="M157" s="1"/>
    </row>
    <row r="158" spans="1:13" s="7" customFormat="1" ht="17.25">
      <c r="A158" s="15" t="s">
        <v>68</v>
      </c>
      <c r="B158" s="92">
        <v>21100</v>
      </c>
      <c r="C158" s="92">
        <v>1665</v>
      </c>
      <c r="D158" s="92">
        <f>D157</f>
        <v>7858</v>
      </c>
      <c r="E158" s="92">
        <f>E153</f>
        <v>2000</v>
      </c>
      <c r="F158" s="92"/>
      <c r="G158" s="92">
        <f>G155</f>
        <v>10000</v>
      </c>
      <c r="H158" s="1"/>
      <c r="I158" s="1"/>
      <c r="J158" s="1"/>
      <c r="K158" s="1"/>
      <c r="L158" s="1"/>
    </row>
    <row r="159" spans="1:13" s="7" customFormat="1" ht="17.25">
      <c r="A159" s="16" t="s">
        <v>103</v>
      </c>
      <c r="B159" s="60">
        <v>21100</v>
      </c>
      <c r="C159" s="60">
        <v>1665</v>
      </c>
      <c r="D159" s="60">
        <f>D158</f>
        <v>7858</v>
      </c>
      <c r="E159" s="60">
        <f>E153</f>
        <v>2000</v>
      </c>
      <c r="F159" s="60"/>
      <c r="G159" s="60">
        <f>G155</f>
        <v>10000</v>
      </c>
      <c r="H159" s="1"/>
      <c r="I159" s="1"/>
      <c r="J159" s="1"/>
      <c r="K159" s="1"/>
      <c r="L159" s="1"/>
    </row>
    <row r="160" spans="1:13" s="7" customFormat="1" ht="17.25">
      <c r="A160" s="11" t="s">
        <v>104</v>
      </c>
      <c r="B160" s="57"/>
      <c r="C160" s="57"/>
      <c r="D160" s="57"/>
      <c r="E160" s="57"/>
      <c r="F160" s="57"/>
      <c r="G160" s="57"/>
      <c r="H160" s="1"/>
      <c r="I160" s="1"/>
      <c r="J160" s="1"/>
      <c r="K160" s="1"/>
      <c r="L160" s="1"/>
    </row>
    <row r="161" spans="1:13" s="7" customFormat="1" ht="17.25">
      <c r="A161" s="11" t="s">
        <v>105</v>
      </c>
      <c r="B161" s="65"/>
      <c r="C161" s="65"/>
      <c r="D161" s="65"/>
      <c r="E161" s="65"/>
      <c r="F161" s="65"/>
      <c r="G161" s="65"/>
      <c r="H161" s="1"/>
      <c r="I161" s="1"/>
      <c r="J161" s="1"/>
      <c r="K161" s="1"/>
      <c r="L161" s="1"/>
    </row>
    <row r="162" spans="1:13" s="7" customFormat="1" ht="17.25">
      <c r="A162" s="23" t="s">
        <v>24</v>
      </c>
      <c r="B162" s="66"/>
      <c r="C162" s="66"/>
      <c r="D162" s="66"/>
      <c r="E162" s="66"/>
      <c r="F162" s="66"/>
      <c r="G162" s="66"/>
      <c r="H162" s="1"/>
      <c r="I162" s="1"/>
      <c r="J162" s="1"/>
      <c r="K162" s="1"/>
      <c r="L162" s="1"/>
    </row>
    <row r="163" spans="1:13" s="7" customFormat="1" ht="17.25">
      <c r="A163" s="8" t="s">
        <v>25</v>
      </c>
      <c r="B163" s="65">
        <f>153360+1037587.42</f>
        <v>1190947.42</v>
      </c>
      <c r="C163" s="65">
        <f>921.61+1178620</f>
        <v>1179541.6100000001</v>
      </c>
      <c r="D163" s="65">
        <f>1236360-32400</f>
        <v>1203960</v>
      </c>
      <c r="E163" s="65">
        <v>1311120</v>
      </c>
      <c r="F163" s="62">
        <v>6.7799999999999999E-2</v>
      </c>
      <c r="G163" s="65">
        <v>1400000</v>
      </c>
      <c r="H163" s="1"/>
      <c r="I163" s="1"/>
      <c r="J163" s="1"/>
      <c r="K163" s="1"/>
      <c r="L163" s="1"/>
    </row>
    <row r="164" spans="1:13" s="7" customFormat="1" ht="17.25">
      <c r="A164" s="5" t="s">
        <v>26</v>
      </c>
      <c r="B164" s="66">
        <v>42000</v>
      </c>
      <c r="C164" s="66">
        <v>42000</v>
      </c>
      <c r="D164" s="66">
        <v>42000</v>
      </c>
      <c r="E164" s="66">
        <v>42000</v>
      </c>
      <c r="F164" s="172">
        <v>0</v>
      </c>
      <c r="G164" s="66">
        <v>42000</v>
      </c>
      <c r="H164" s="1"/>
      <c r="I164" s="1"/>
      <c r="J164" s="1"/>
      <c r="K164" s="1"/>
      <c r="L164" s="1"/>
    </row>
    <row r="165" spans="1:13" ht="17.25">
      <c r="A165" s="27" t="s">
        <v>27</v>
      </c>
      <c r="B165" s="83">
        <v>185340</v>
      </c>
      <c r="C165" s="83">
        <v>192360</v>
      </c>
      <c r="D165" s="83">
        <v>207240</v>
      </c>
      <c r="E165" s="83">
        <v>218280</v>
      </c>
      <c r="F165" s="99">
        <v>0.05</v>
      </c>
      <c r="G165" s="83">
        <v>229200</v>
      </c>
      <c r="H165" s="1"/>
      <c r="I165" s="1"/>
      <c r="J165" s="1"/>
      <c r="K165" s="1"/>
      <c r="L165" s="1"/>
    </row>
    <row r="166" spans="1:13" ht="17.25">
      <c r="A166" s="22" t="s">
        <v>28</v>
      </c>
      <c r="B166" s="65">
        <f>450000</f>
        <v>450000</v>
      </c>
      <c r="C166" s="65">
        <v>450000</v>
      </c>
      <c r="D166" s="65">
        <v>405000</v>
      </c>
      <c r="E166" s="65">
        <v>412560</v>
      </c>
      <c r="F166" s="127">
        <v>1.44E-2</v>
      </c>
      <c r="G166" s="65">
        <v>418500</v>
      </c>
      <c r="H166" s="1"/>
      <c r="I166" s="1"/>
      <c r="J166" s="1"/>
      <c r="K166" s="1"/>
      <c r="L166" s="1"/>
    </row>
    <row r="167" spans="1:13" ht="17.25">
      <c r="A167" s="26" t="s">
        <v>106</v>
      </c>
      <c r="B167" s="66">
        <v>30000</v>
      </c>
      <c r="C167" s="66">
        <v>30000</v>
      </c>
      <c r="D167" s="66">
        <v>24000</v>
      </c>
      <c r="E167" s="66">
        <v>24000</v>
      </c>
      <c r="F167" s="175" t="s">
        <v>322</v>
      </c>
      <c r="G167" s="66">
        <v>24000</v>
      </c>
      <c r="H167" s="1"/>
      <c r="I167" s="1"/>
      <c r="J167" s="1"/>
      <c r="K167" s="1"/>
      <c r="L167" s="1"/>
    </row>
    <row r="168" spans="1:13" ht="17.25">
      <c r="A168" s="32" t="s">
        <v>107</v>
      </c>
      <c r="B168" s="97">
        <f>SUM(B163:B167)</f>
        <v>1898287.42</v>
      </c>
      <c r="C168" s="97">
        <f>SUM(C163:C167)</f>
        <v>1893901.61</v>
      </c>
      <c r="D168" s="97">
        <f>SUM(D163:D167)</f>
        <v>1882200</v>
      </c>
      <c r="E168" s="97">
        <f>SUM(E163:E167)</f>
        <v>2007960</v>
      </c>
      <c r="F168" s="98"/>
      <c r="G168" s="97">
        <f>SUM(G163:G167)</f>
        <v>2113700</v>
      </c>
      <c r="H168" s="1"/>
      <c r="I168" s="1"/>
      <c r="J168" s="1"/>
      <c r="K168" s="1"/>
      <c r="L168" s="1"/>
    </row>
    <row r="169" spans="1:13" ht="17.25">
      <c r="A169" s="16" t="s">
        <v>108</v>
      </c>
      <c r="B169" s="93">
        <f>B168</f>
        <v>1898287.42</v>
      </c>
      <c r="C169" s="93">
        <f>C168</f>
        <v>1893901.61</v>
      </c>
      <c r="D169" s="93">
        <f>D168</f>
        <v>1882200</v>
      </c>
      <c r="E169" s="93">
        <f>E168</f>
        <v>2007960</v>
      </c>
      <c r="F169" s="73"/>
      <c r="G169" s="93">
        <f>G168</f>
        <v>2113700</v>
      </c>
      <c r="H169" s="1"/>
      <c r="I169" s="1"/>
      <c r="J169" s="1"/>
      <c r="K169" s="1"/>
      <c r="L169" s="1"/>
    </row>
    <row r="170" spans="1:13" ht="17.25">
      <c r="A170" s="23" t="s">
        <v>33</v>
      </c>
      <c r="B170" s="66"/>
      <c r="C170" s="66"/>
      <c r="D170" s="66"/>
      <c r="E170" s="66"/>
      <c r="F170" s="166"/>
      <c r="G170" s="66"/>
      <c r="H170" s="1"/>
      <c r="I170" s="1"/>
      <c r="J170" s="1"/>
      <c r="K170" s="1"/>
      <c r="L170" s="1"/>
    </row>
    <row r="171" spans="1:13" ht="17.25">
      <c r="A171" s="30" t="s">
        <v>34</v>
      </c>
      <c r="B171" s="83"/>
      <c r="C171" s="83"/>
      <c r="D171" s="83"/>
      <c r="E171" s="83"/>
      <c r="F171" s="164"/>
      <c r="G171" s="83"/>
    </row>
    <row r="172" spans="1:13" ht="17.25">
      <c r="A172" s="27" t="s">
        <v>301</v>
      </c>
      <c r="B172" s="200">
        <v>219275</v>
      </c>
      <c r="C172" s="200">
        <f>224874.05-444.05</f>
        <v>224430</v>
      </c>
      <c r="D172" s="200">
        <f>34485+107025</f>
        <v>141510</v>
      </c>
      <c r="E172" s="200">
        <v>80900</v>
      </c>
      <c r="F172" s="206">
        <v>-0.25829999999999997</v>
      </c>
      <c r="G172" s="200">
        <v>60000</v>
      </c>
    </row>
    <row r="173" spans="1:13" ht="17.25">
      <c r="A173" s="24" t="s">
        <v>302</v>
      </c>
      <c r="B173" s="202"/>
      <c r="C173" s="202"/>
      <c r="D173" s="202"/>
      <c r="E173" s="202"/>
      <c r="F173" s="202"/>
      <c r="G173" s="202"/>
    </row>
    <row r="174" spans="1:13" ht="17.25">
      <c r="A174" s="26" t="s">
        <v>109</v>
      </c>
      <c r="B174" s="57">
        <v>10000</v>
      </c>
      <c r="C174" s="57">
        <v>0</v>
      </c>
      <c r="D174" s="57">
        <v>10000</v>
      </c>
      <c r="E174" s="57">
        <v>2000</v>
      </c>
      <c r="F174" s="131">
        <v>-0.5</v>
      </c>
      <c r="G174" s="57">
        <v>1000</v>
      </c>
    </row>
    <row r="175" spans="1:13" ht="17.25">
      <c r="A175" s="22" t="s">
        <v>110</v>
      </c>
      <c r="B175" s="56">
        <v>17010</v>
      </c>
      <c r="C175" s="56">
        <v>18870</v>
      </c>
      <c r="D175" s="56">
        <v>30000</v>
      </c>
      <c r="E175" s="56">
        <v>38000</v>
      </c>
      <c r="F175" s="62">
        <v>5.2600000000000001E-2</v>
      </c>
      <c r="G175" s="56">
        <v>40000</v>
      </c>
    </row>
    <row r="176" spans="1:13" s="7" customFormat="1" ht="17.25">
      <c r="A176" s="16" t="s">
        <v>40</v>
      </c>
      <c r="B176" s="93">
        <f>B173+B172+B174+B175</f>
        <v>246285</v>
      </c>
      <c r="C176" s="93">
        <f>C172+C173+C174+C175</f>
        <v>243300</v>
      </c>
      <c r="D176" s="93">
        <f>D172+D173+D174+D175</f>
        <v>181510</v>
      </c>
      <c r="E176" s="93">
        <f>E172+E173+E174+E175</f>
        <v>120900</v>
      </c>
      <c r="F176" s="73"/>
      <c r="G176" s="93">
        <f>G172+G173+G174+G175</f>
        <v>101000</v>
      </c>
      <c r="H176" s="1"/>
      <c r="I176" s="1"/>
      <c r="J176" s="1"/>
      <c r="K176" s="1"/>
      <c r="L176" s="1"/>
      <c r="M176" s="1"/>
    </row>
    <row r="177" spans="1:13" s="7" customFormat="1" ht="17.25">
      <c r="A177" s="21" t="s">
        <v>41</v>
      </c>
      <c r="B177" s="65"/>
      <c r="C177" s="65"/>
      <c r="D177" s="65"/>
      <c r="E177" s="65"/>
      <c r="F177" s="176"/>
      <c r="G177" s="65"/>
      <c r="H177" s="1"/>
      <c r="I177" s="1"/>
      <c r="J177" s="1"/>
      <c r="K177" s="1"/>
      <c r="L177" s="1"/>
      <c r="M177" s="1"/>
    </row>
    <row r="178" spans="1:13" s="7" customFormat="1" ht="17.25">
      <c r="A178" s="26" t="s">
        <v>42</v>
      </c>
      <c r="B178" s="66">
        <v>27330.85</v>
      </c>
      <c r="C178" s="66">
        <v>1660.05</v>
      </c>
      <c r="D178" s="66">
        <v>20000</v>
      </c>
      <c r="E178" s="66">
        <v>273000</v>
      </c>
      <c r="F178" s="105">
        <v>-1</v>
      </c>
      <c r="G178" s="66">
        <v>320000</v>
      </c>
      <c r="H178" s="1"/>
      <c r="I178" s="1"/>
      <c r="J178" s="1"/>
      <c r="K178" s="1"/>
      <c r="L178" s="1"/>
      <c r="M178" s="1"/>
    </row>
    <row r="179" spans="1:13" s="7" customFormat="1" ht="17.25">
      <c r="A179" s="27" t="s">
        <v>44</v>
      </c>
      <c r="B179" s="200"/>
      <c r="C179" s="200"/>
      <c r="D179" s="200"/>
      <c r="E179" s="200"/>
      <c r="F179" s="200"/>
      <c r="G179" s="200"/>
      <c r="H179" s="1"/>
      <c r="I179" s="1"/>
      <c r="J179" s="1"/>
      <c r="K179" s="1"/>
      <c r="L179" s="1"/>
      <c r="M179" s="1"/>
    </row>
    <row r="180" spans="1:13" s="7" customFormat="1" ht="17.25">
      <c r="A180" s="24" t="s">
        <v>45</v>
      </c>
      <c r="B180" s="202"/>
      <c r="C180" s="202"/>
      <c r="D180" s="202"/>
      <c r="E180" s="202"/>
      <c r="F180" s="202"/>
      <c r="G180" s="202"/>
      <c r="H180" s="1"/>
      <c r="I180" s="1"/>
      <c r="J180" s="1"/>
      <c r="K180" s="1"/>
      <c r="L180" s="1"/>
      <c r="M180" s="1"/>
    </row>
    <row r="181" spans="1:13" s="7" customFormat="1" ht="17.25">
      <c r="A181" s="6" t="s">
        <v>46</v>
      </c>
      <c r="B181" s="65">
        <v>0</v>
      </c>
      <c r="C181" s="65">
        <v>5904</v>
      </c>
      <c r="D181" s="65">
        <v>0</v>
      </c>
      <c r="E181" s="65">
        <v>20000</v>
      </c>
      <c r="F181" s="105">
        <v>0.5</v>
      </c>
      <c r="G181" s="65">
        <v>30000</v>
      </c>
      <c r="H181" s="1"/>
      <c r="I181" s="1"/>
      <c r="J181" s="1"/>
      <c r="K181" s="1"/>
      <c r="L181" s="1"/>
      <c r="M181" s="1"/>
    </row>
    <row r="182" spans="1:13" s="7" customFormat="1" ht="17.25">
      <c r="A182" s="6" t="s">
        <v>453</v>
      </c>
      <c r="B182" s="200">
        <v>0</v>
      </c>
      <c r="C182" s="200">
        <v>0</v>
      </c>
      <c r="D182" s="200">
        <v>0</v>
      </c>
      <c r="E182" s="200">
        <v>32000</v>
      </c>
      <c r="F182" s="211">
        <v>-1</v>
      </c>
      <c r="G182" s="200">
        <v>0</v>
      </c>
      <c r="H182" s="1"/>
      <c r="I182" s="1"/>
      <c r="J182" s="1"/>
      <c r="K182" s="1"/>
      <c r="L182" s="1"/>
      <c r="M182" s="1"/>
    </row>
    <row r="183" spans="1:13" s="7" customFormat="1" ht="17.25">
      <c r="A183" s="24" t="s">
        <v>454</v>
      </c>
      <c r="B183" s="202"/>
      <c r="C183" s="202"/>
      <c r="D183" s="202"/>
      <c r="E183" s="202"/>
      <c r="F183" s="223"/>
      <c r="G183" s="202"/>
      <c r="H183" s="1"/>
      <c r="I183" s="1"/>
      <c r="J183" s="1"/>
      <c r="K183" s="1"/>
      <c r="L183" s="1"/>
      <c r="M183" s="1"/>
    </row>
    <row r="184" spans="1:13" s="7" customFormat="1" ht="17.25">
      <c r="A184" s="31" t="s">
        <v>111</v>
      </c>
      <c r="B184" s="65">
        <v>0</v>
      </c>
      <c r="C184" s="65">
        <v>5000</v>
      </c>
      <c r="D184" s="65">
        <v>0</v>
      </c>
      <c r="E184" s="65">
        <v>0</v>
      </c>
      <c r="F184" s="175"/>
      <c r="G184" s="65">
        <v>0</v>
      </c>
      <c r="H184" s="1"/>
      <c r="I184" s="1"/>
      <c r="J184" s="1"/>
      <c r="K184" s="1"/>
      <c r="L184" s="1"/>
      <c r="M184" s="1"/>
    </row>
    <row r="185" spans="1:13" s="7" customFormat="1" ht="17.25">
      <c r="A185" s="22" t="s">
        <v>112</v>
      </c>
      <c r="B185" s="66">
        <v>0</v>
      </c>
      <c r="C185" s="66">
        <v>5000</v>
      </c>
      <c r="D185" s="66">
        <v>0</v>
      </c>
      <c r="E185" s="66">
        <v>5000</v>
      </c>
      <c r="F185" s="105">
        <v>-1</v>
      </c>
      <c r="G185" s="66">
        <v>0</v>
      </c>
      <c r="H185" s="1"/>
      <c r="I185" s="1"/>
      <c r="J185" s="1"/>
      <c r="K185" s="1"/>
      <c r="L185" s="1"/>
      <c r="M185" s="1"/>
    </row>
    <row r="186" spans="1:13" s="7" customFormat="1" ht="17.25">
      <c r="A186" s="22" t="s">
        <v>596</v>
      </c>
      <c r="B186" s="66">
        <v>0</v>
      </c>
      <c r="C186" s="66">
        <v>0</v>
      </c>
      <c r="D186" s="154">
        <v>0</v>
      </c>
      <c r="E186" s="154">
        <v>0</v>
      </c>
      <c r="F186" s="105">
        <v>1</v>
      </c>
      <c r="G186" s="154">
        <v>5000</v>
      </c>
      <c r="H186" s="1"/>
      <c r="I186" s="1"/>
      <c r="J186" s="1"/>
      <c r="K186" s="1"/>
      <c r="L186" s="1"/>
      <c r="M186" s="1"/>
    </row>
    <row r="187" spans="1:13" s="7" customFormat="1" ht="17.25">
      <c r="A187" s="8" t="s">
        <v>113</v>
      </c>
      <c r="B187" s="56">
        <v>0</v>
      </c>
      <c r="C187" s="56">
        <v>0</v>
      </c>
      <c r="D187" s="54">
        <v>0</v>
      </c>
      <c r="E187" s="54">
        <v>5000</v>
      </c>
      <c r="F187" s="193" t="s">
        <v>318</v>
      </c>
      <c r="G187" s="54">
        <v>0</v>
      </c>
      <c r="H187" s="1"/>
      <c r="I187" s="1"/>
      <c r="J187" s="1"/>
      <c r="K187" s="1"/>
      <c r="L187" s="1"/>
      <c r="M187" s="1"/>
    </row>
    <row r="188" spans="1:13" s="7" customFormat="1" ht="17.25">
      <c r="A188" s="4" t="s">
        <v>46</v>
      </c>
      <c r="B188" s="83">
        <v>0</v>
      </c>
      <c r="C188" s="83">
        <v>0</v>
      </c>
      <c r="D188" s="83">
        <f>30000-16175.49</f>
        <v>13824.51</v>
      </c>
      <c r="E188" s="83">
        <v>0</v>
      </c>
      <c r="F188" s="175" t="s">
        <v>318</v>
      </c>
      <c r="G188" s="83">
        <v>0</v>
      </c>
      <c r="H188" s="1"/>
      <c r="I188" s="1"/>
      <c r="J188" s="1"/>
      <c r="K188" s="1"/>
      <c r="L188" s="1"/>
      <c r="M188" s="1"/>
    </row>
    <row r="189" spans="1:13" s="7" customFormat="1" ht="17.25">
      <c r="A189" s="17" t="s">
        <v>307</v>
      </c>
      <c r="B189" s="200">
        <v>0</v>
      </c>
      <c r="C189" s="200">
        <v>0</v>
      </c>
      <c r="D189" s="200">
        <v>0</v>
      </c>
      <c r="E189" s="200">
        <v>0</v>
      </c>
      <c r="F189" s="203">
        <v>1</v>
      </c>
      <c r="G189" s="200">
        <v>50000</v>
      </c>
      <c r="H189" s="1"/>
      <c r="I189" s="1"/>
      <c r="J189" s="1"/>
      <c r="K189" s="1"/>
      <c r="L189" s="1"/>
      <c r="M189" s="1"/>
    </row>
    <row r="190" spans="1:13" s="7" customFormat="1" ht="17.25">
      <c r="A190" s="24" t="s">
        <v>306</v>
      </c>
      <c r="B190" s="202"/>
      <c r="C190" s="202"/>
      <c r="D190" s="202"/>
      <c r="E190" s="202"/>
      <c r="F190" s="202"/>
      <c r="G190" s="202"/>
      <c r="H190" s="1"/>
      <c r="I190" s="1"/>
      <c r="J190" s="1"/>
      <c r="K190" s="1"/>
      <c r="L190" s="1"/>
      <c r="M190" s="1"/>
    </row>
    <row r="191" spans="1:13" s="7" customFormat="1" ht="17.25">
      <c r="A191" s="24" t="s">
        <v>114</v>
      </c>
      <c r="B191" s="66">
        <v>0</v>
      </c>
      <c r="C191" s="66">
        <v>0</v>
      </c>
      <c r="D191" s="66">
        <v>5000</v>
      </c>
      <c r="E191" s="66">
        <v>0</v>
      </c>
      <c r="F191" s="172">
        <v>-1</v>
      </c>
      <c r="G191" s="66">
        <v>0</v>
      </c>
      <c r="H191" s="1"/>
      <c r="I191" s="1"/>
      <c r="J191" s="1"/>
      <c r="K191" s="1"/>
      <c r="L191" s="1"/>
    </row>
    <row r="192" spans="1:13" s="7" customFormat="1" ht="17.25">
      <c r="A192" s="22" t="s">
        <v>49</v>
      </c>
      <c r="B192" s="56">
        <v>0</v>
      </c>
      <c r="C192" s="56">
        <v>15570</v>
      </c>
      <c r="D192" s="56">
        <v>25000</v>
      </c>
      <c r="E192" s="56">
        <v>7000</v>
      </c>
      <c r="F192" s="62">
        <v>2.1429</v>
      </c>
      <c r="G192" s="56">
        <v>22000</v>
      </c>
      <c r="H192" s="1"/>
      <c r="I192" s="1"/>
      <c r="J192" s="1"/>
      <c r="K192" s="1"/>
      <c r="L192" s="1"/>
    </row>
    <row r="193" spans="1:12" s="7" customFormat="1" ht="17.25">
      <c r="A193" s="16" t="s">
        <v>50</v>
      </c>
      <c r="B193" s="100">
        <f>SUM(B178:B192)</f>
        <v>27330.85</v>
      </c>
      <c r="C193" s="100">
        <f>SUM(C178:C192)</f>
        <v>33134.050000000003</v>
      </c>
      <c r="D193" s="100">
        <f>SUM(D178:D192)</f>
        <v>63824.51</v>
      </c>
      <c r="E193" s="100">
        <f>SUM(E178:E192)</f>
        <v>342000</v>
      </c>
      <c r="F193" s="101"/>
      <c r="G193" s="100">
        <f>SUM(G178:G192)</f>
        <v>427000</v>
      </c>
      <c r="H193" s="1"/>
      <c r="I193" s="1"/>
      <c r="J193" s="1"/>
      <c r="K193" s="1"/>
      <c r="L193" s="1"/>
    </row>
    <row r="194" spans="1:12" s="7" customFormat="1" ht="17.25">
      <c r="A194" s="11" t="s">
        <v>51</v>
      </c>
      <c r="B194" s="65"/>
      <c r="C194" s="65"/>
      <c r="D194" s="65"/>
      <c r="E194" s="65"/>
      <c r="F194" s="176"/>
      <c r="G194" s="65"/>
      <c r="H194" s="1"/>
      <c r="I194" s="1"/>
      <c r="J194" s="1"/>
      <c r="K194" s="1"/>
      <c r="L194" s="1"/>
    </row>
    <row r="195" spans="1:12" s="7" customFormat="1" ht="17.25">
      <c r="A195" s="24" t="s">
        <v>52</v>
      </c>
      <c r="B195" s="66">
        <v>191236</v>
      </c>
      <c r="C195" s="66">
        <f>120000-1444</f>
        <v>118556</v>
      </c>
      <c r="D195" s="66">
        <v>100000</v>
      </c>
      <c r="E195" s="66">
        <v>110000</v>
      </c>
      <c r="F195" s="140">
        <v>-0.54549999999999998</v>
      </c>
      <c r="G195" s="66">
        <v>50000</v>
      </c>
      <c r="H195" s="1"/>
      <c r="I195" s="1"/>
      <c r="J195" s="1"/>
      <c r="K195" s="1"/>
      <c r="L195" s="1"/>
    </row>
    <row r="196" spans="1:12" s="7" customFormat="1" ht="17.25">
      <c r="A196" s="24" t="s">
        <v>56</v>
      </c>
      <c r="B196" s="66">
        <v>0</v>
      </c>
      <c r="C196" s="66">
        <v>0</v>
      </c>
      <c r="D196" s="66">
        <v>0</v>
      </c>
      <c r="E196" s="66">
        <v>5000</v>
      </c>
      <c r="F196" s="105">
        <v>-0.6</v>
      </c>
      <c r="G196" s="66">
        <v>2000</v>
      </c>
      <c r="H196" s="1"/>
      <c r="I196" s="1"/>
      <c r="J196" s="1"/>
      <c r="K196" s="1"/>
      <c r="L196" s="1"/>
    </row>
    <row r="197" spans="1:12" s="7" customFormat="1" ht="17.25">
      <c r="A197" s="8" t="s">
        <v>57</v>
      </c>
      <c r="B197" s="65">
        <v>0</v>
      </c>
      <c r="C197" s="65">
        <f>10000-100</f>
        <v>9900</v>
      </c>
      <c r="D197" s="65">
        <v>10000</v>
      </c>
      <c r="E197" s="65">
        <v>1000</v>
      </c>
      <c r="F197" s="59">
        <v>2</v>
      </c>
      <c r="G197" s="65">
        <v>3000</v>
      </c>
      <c r="H197" s="1"/>
      <c r="I197" s="1"/>
      <c r="J197" s="1"/>
      <c r="K197" s="1"/>
      <c r="L197" s="1"/>
    </row>
    <row r="198" spans="1:12" s="7" customFormat="1" ht="17.25">
      <c r="A198" s="5" t="s">
        <v>58</v>
      </c>
      <c r="B198" s="66">
        <v>39460</v>
      </c>
      <c r="C198" s="66">
        <f>55000-590</f>
        <v>54410</v>
      </c>
      <c r="D198" s="66">
        <f>6384+70000</f>
        <v>76384</v>
      </c>
      <c r="E198" s="66">
        <v>60000</v>
      </c>
      <c r="F198" s="95">
        <v>0.41670000000000001</v>
      </c>
      <c r="G198" s="66">
        <v>35000</v>
      </c>
      <c r="H198" s="1"/>
      <c r="I198" s="1"/>
      <c r="J198" s="1"/>
      <c r="K198" s="1"/>
      <c r="L198" s="1"/>
    </row>
    <row r="199" spans="1:12" ht="17.25">
      <c r="A199" s="32" t="s">
        <v>60</v>
      </c>
      <c r="B199" s="97">
        <f>SUM(B195:B198)</f>
        <v>230696</v>
      </c>
      <c r="C199" s="97">
        <f>SUM(C195:C198)</f>
        <v>182866</v>
      </c>
      <c r="D199" s="97">
        <f>SUM(D195:D198)</f>
        <v>186384</v>
      </c>
      <c r="E199" s="97">
        <f>SUM(E195:E198)</f>
        <v>176000</v>
      </c>
      <c r="F199" s="98"/>
      <c r="G199" s="97">
        <f>SUM(G195:G198)</f>
        <v>90000</v>
      </c>
      <c r="H199" s="1"/>
      <c r="I199" s="1"/>
      <c r="J199" s="1"/>
      <c r="K199" s="1"/>
      <c r="L199" s="1"/>
    </row>
    <row r="200" spans="1:12" ht="17.25">
      <c r="A200" s="32" t="s">
        <v>68</v>
      </c>
      <c r="B200" s="97">
        <f>B176+B193+B199</f>
        <v>504311.85</v>
      </c>
      <c r="C200" s="97">
        <f>C176+C193+C199</f>
        <v>459300.05</v>
      </c>
      <c r="D200" s="97">
        <f>D176+D193+D199</f>
        <v>431718.51</v>
      </c>
      <c r="E200" s="97">
        <f>E176+E193+E199</f>
        <v>638900</v>
      </c>
      <c r="F200" s="98"/>
      <c r="G200" s="97">
        <f>G176+G193+G199</f>
        <v>618000</v>
      </c>
      <c r="H200" s="1"/>
      <c r="I200" s="1"/>
      <c r="J200" s="1"/>
      <c r="K200" s="1"/>
      <c r="L200" s="1"/>
    </row>
    <row r="201" spans="1:12" ht="17.25">
      <c r="A201" s="29" t="s">
        <v>69</v>
      </c>
      <c r="B201" s="18"/>
      <c r="C201" s="18"/>
      <c r="D201" s="18"/>
      <c r="E201" s="18"/>
      <c r="F201" s="18"/>
      <c r="G201" s="18"/>
      <c r="H201" s="1"/>
      <c r="I201" s="1"/>
      <c r="J201" s="1"/>
      <c r="K201" s="1"/>
      <c r="L201" s="1"/>
    </row>
    <row r="202" spans="1:12" ht="17.25">
      <c r="A202" s="30" t="s">
        <v>115</v>
      </c>
      <c r="B202" s="17"/>
      <c r="C202" s="17"/>
      <c r="D202" s="17"/>
      <c r="E202" s="17"/>
      <c r="F202" s="17"/>
      <c r="G202" s="17"/>
      <c r="H202" s="1"/>
      <c r="I202" s="1"/>
      <c r="J202" s="1"/>
      <c r="K202" s="1"/>
      <c r="L202" s="1"/>
    </row>
    <row r="203" spans="1:12" ht="17.25">
      <c r="A203" s="22" t="s">
        <v>116</v>
      </c>
      <c r="B203" s="19"/>
      <c r="C203" s="19"/>
      <c r="D203" s="19"/>
      <c r="E203" s="19"/>
      <c r="F203" s="19"/>
      <c r="G203" s="19"/>
      <c r="H203" s="1"/>
      <c r="I203" s="1"/>
      <c r="J203" s="1"/>
      <c r="K203" s="1"/>
      <c r="L203" s="1"/>
    </row>
    <row r="204" spans="1:12" ht="17.25">
      <c r="A204" s="24" t="s">
        <v>117</v>
      </c>
      <c r="B204" s="66">
        <v>0</v>
      </c>
      <c r="C204" s="66">
        <v>0</v>
      </c>
      <c r="D204" s="66">
        <v>1500</v>
      </c>
      <c r="E204" s="66">
        <v>3400</v>
      </c>
      <c r="F204" s="172">
        <v>-1</v>
      </c>
      <c r="G204" s="66">
        <v>0</v>
      </c>
      <c r="H204" s="1"/>
      <c r="I204" s="1"/>
      <c r="J204" s="1"/>
      <c r="K204" s="1"/>
      <c r="L204" s="1"/>
    </row>
    <row r="205" spans="1:12" ht="17.25">
      <c r="A205" s="24" t="s">
        <v>597</v>
      </c>
      <c r="B205" s="67">
        <v>0</v>
      </c>
      <c r="C205" s="67">
        <v>0</v>
      </c>
      <c r="D205" s="67">
        <v>0</v>
      </c>
      <c r="E205" s="67">
        <v>0</v>
      </c>
      <c r="F205" s="171">
        <v>1</v>
      </c>
      <c r="G205" s="67">
        <v>3600</v>
      </c>
      <c r="H205" s="1"/>
      <c r="I205" s="1"/>
      <c r="J205" s="1"/>
      <c r="K205" s="1"/>
      <c r="L205" s="1"/>
    </row>
    <row r="206" spans="1:12" ht="17.25">
      <c r="A206" s="22" t="s">
        <v>118</v>
      </c>
      <c r="B206" s="83">
        <v>52000</v>
      </c>
      <c r="C206" s="83">
        <v>0</v>
      </c>
      <c r="D206" s="83">
        <v>32000</v>
      </c>
      <c r="E206" s="83">
        <v>0</v>
      </c>
      <c r="F206" s="167">
        <v>-1</v>
      </c>
      <c r="G206" s="83">
        <v>0</v>
      </c>
    </row>
    <row r="207" spans="1:12" ht="17.25">
      <c r="A207" s="22" t="s">
        <v>598</v>
      </c>
      <c r="B207" s="83">
        <v>0</v>
      </c>
      <c r="C207" s="83">
        <v>0</v>
      </c>
      <c r="D207" s="83">
        <v>0</v>
      </c>
      <c r="E207" s="83">
        <v>0</v>
      </c>
      <c r="F207" s="167">
        <v>1</v>
      </c>
      <c r="G207" s="83">
        <v>30000</v>
      </c>
    </row>
    <row r="208" spans="1:12" ht="17.25">
      <c r="A208" s="22" t="s">
        <v>457</v>
      </c>
      <c r="B208" s="83">
        <v>0</v>
      </c>
      <c r="C208" s="83">
        <v>0</v>
      </c>
      <c r="D208" s="83">
        <v>0</v>
      </c>
      <c r="E208" s="83">
        <v>8000</v>
      </c>
      <c r="F208" s="167">
        <v>-1</v>
      </c>
      <c r="G208" s="83">
        <v>0</v>
      </c>
    </row>
    <row r="209" spans="1:13" ht="17.25">
      <c r="A209" s="22" t="s">
        <v>458</v>
      </c>
      <c r="B209" s="83">
        <v>0</v>
      </c>
      <c r="C209" s="83">
        <v>0</v>
      </c>
      <c r="D209" s="83">
        <v>0</v>
      </c>
      <c r="E209" s="83">
        <v>36000</v>
      </c>
      <c r="F209" s="167">
        <v>-1</v>
      </c>
      <c r="G209" s="83">
        <v>0</v>
      </c>
    </row>
    <row r="210" spans="1:13" ht="17.25">
      <c r="A210" s="24" t="s">
        <v>119</v>
      </c>
      <c r="B210" s="65"/>
      <c r="C210" s="65"/>
      <c r="D210" s="65"/>
      <c r="E210" s="65"/>
      <c r="F210" s="176"/>
      <c r="G210" s="65"/>
    </row>
    <row r="211" spans="1:13" ht="17.25">
      <c r="A211" s="22" t="s">
        <v>479</v>
      </c>
      <c r="B211" s="66">
        <v>0</v>
      </c>
      <c r="C211" s="66">
        <v>0</v>
      </c>
      <c r="D211" s="66">
        <v>29000</v>
      </c>
      <c r="E211" s="66">
        <v>0</v>
      </c>
      <c r="F211" s="172">
        <v>1</v>
      </c>
      <c r="G211" s="66">
        <v>16000</v>
      </c>
    </row>
    <row r="212" spans="1:13" ht="17.25">
      <c r="A212" s="22" t="s">
        <v>599</v>
      </c>
      <c r="B212" s="58">
        <v>0</v>
      </c>
      <c r="C212" s="58">
        <v>0</v>
      </c>
      <c r="D212" s="58">
        <v>3300</v>
      </c>
      <c r="E212" s="58">
        <v>0</v>
      </c>
      <c r="F212" s="172">
        <v>1</v>
      </c>
      <c r="G212" s="58">
        <v>5200</v>
      </c>
    </row>
    <row r="213" spans="1:13" ht="17.25">
      <c r="A213" s="22" t="s">
        <v>122</v>
      </c>
      <c r="B213" s="56">
        <v>0</v>
      </c>
      <c r="C213" s="56">
        <v>0</v>
      </c>
      <c r="D213" s="56">
        <v>4300</v>
      </c>
      <c r="E213" s="56">
        <v>0</v>
      </c>
      <c r="F213" s="59">
        <v>1</v>
      </c>
      <c r="G213" s="56">
        <v>4300</v>
      </c>
    </row>
    <row r="214" spans="1:13" s="7" customFormat="1" ht="17.25">
      <c r="A214" s="22" t="s">
        <v>123</v>
      </c>
      <c r="B214" s="65">
        <v>0</v>
      </c>
      <c r="C214" s="65">
        <v>0</v>
      </c>
      <c r="D214" s="65">
        <v>3200</v>
      </c>
      <c r="E214" s="65">
        <v>0</v>
      </c>
      <c r="F214" s="59">
        <v>1</v>
      </c>
      <c r="G214" s="65">
        <v>5000</v>
      </c>
      <c r="H214" s="1"/>
      <c r="I214" s="1"/>
      <c r="J214" s="1"/>
      <c r="K214" s="1"/>
      <c r="L214" s="1"/>
      <c r="M214" s="1"/>
    </row>
    <row r="215" spans="1:13" s="7" customFormat="1" ht="17.25">
      <c r="A215" s="22" t="s">
        <v>124</v>
      </c>
      <c r="B215" s="65">
        <v>0</v>
      </c>
      <c r="C215" s="65">
        <v>0</v>
      </c>
      <c r="D215" s="65">
        <v>0</v>
      </c>
      <c r="E215" s="65">
        <v>0</v>
      </c>
      <c r="F215" s="75"/>
      <c r="G215" s="65">
        <v>0</v>
      </c>
      <c r="H215" s="1"/>
      <c r="I215" s="1"/>
      <c r="J215" s="1"/>
      <c r="K215" s="1"/>
      <c r="L215" s="1"/>
      <c r="M215" s="1"/>
    </row>
    <row r="216" spans="1:13" s="7" customFormat="1" ht="17.25">
      <c r="A216" s="24" t="s">
        <v>125</v>
      </c>
      <c r="B216" s="66">
        <v>0</v>
      </c>
      <c r="C216" s="66">
        <v>0</v>
      </c>
      <c r="D216" s="66">
        <v>0</v>
      </c>
      <c r="E216" s="66">
        <v>0</v>
      </c>
      <c r="F216" s="172"/>
      <c r="G216" s="66">
        <v>0</v>
      </c>
      <c r="H216" s="1"/>
      <c r="I216" s="1"/>
      <c r="J216" s="1"/>
      <c r="K216" s="1"/>
      <c r="L216" s="1"/>
      <c r="M216" s="1"/>
    </row>
    <row r="217" spans="1:13" s="7" customFormat="1" ht="17.25">
      <c r="A217" s="27" t="s">
        <v>126</v>
      </c>
      <c r="B217" s="65">
        <v>0</v>
      </c>
      <c r="C217" s="65">
        <v>0</v>
      </c>
      <c r="D217" s="65">
        <v>0</v>
      </c>
      <c r="E217" s="65">
        <v>0</v>
      </c>
      <c r="F217" s="59"/>
      <c r="G217" s="65">
        <v>0</v>
      </c>
      <c r="H217" s="1"/>
      <c r="I217" s="1"/>
      <c r="J217" s="1"/>
      <c r="K217" s="1"/>
      <c r="L217" s="1"/>
      <c r="M217" s="1"/>
    </row>
    <row r="218" spans="1:13" s="7" customFormat="1" ht="17.25">
      <c r="A218" s="22" t="s">
        <v>127</v>
      </c>
      <c r="B218" s="66">
        <v>0</v>
      </c>
      <c r="C218" s="66">
        <v>0</v>
      </c>
      <c r="D218" s="66">
        <f>30000-17800</f>
        <v>12200</v>
      </c>
      <c r="E218" s="66">
        <v>50000</v>
      </c>
      <c r="F218" s="105">
        <v>1</v>
      </c>
      <c r="G218" s="66">
        <v>50000</v>
      </c>
      <c r="H218" s="1"/>
      <c r="I218" s="1"/>
      <c r="J218" s="1"/>
      <c r="K218" s="1"/>
      <c r="L218" s="1"/>
      <c r="M218" s="1"/>
    </row>
    <row r="219" spans="1:13" s="7" customFormat="1" ht="17.25">
      <c r="A219" s="15" t="s">
        <v>82</v>
      </c>
      <c r="B219" s="93">
        <f>B206</f>
        <v>52000</v>
      </c>
      <c r="C219" s="93">
        <v>0</v>
      </c>
      <c r="D219" s="93">
        <f>SUM(D204:D218)</f>
        <v>85500</v>
      </c>
      <c r="E219" s="93">
        <f>SUM(E204:E218)</f>
        <v>97400</v>
      </c>
      <c r="F219" s="73"/>
      <c r="G219" s="93">
        <f>SUM(G204:G218)</f>
        <v>114100</v>
      </c>
      <c r="H219" s="1"/>
      <c r="I219" s="1"/>
      <c r="J219" s="1"/>
      <c r="K219" s="1"/>
      <c r="L219" s="1"/>
      <c r="M219" s="1"/>
    </row>
    <row r="220" spans="1:13" s="7" customFormat="1" ht="17.25">
      <c r="A220" s="28" t="s">
        <v>88</v>
      </c>
      <c r="B220" s="93">
        <f>B219</f>
        <v>52000</v>
      </c>
      <c r="C220" s="93">
        <v>0</v>
      </c>
      <c r="D220" s="93">
        <f>D219</f>
        <v>85500</v>
      </c>
      <c r="E220" s="93">
        <v>97400</v>
      </c>
      <c r="F220" s="73"/>
      <c r="G220" s="93">
        <f>G219</f>
        <v>114100</v>
      </c>
      <c r="H220" s="1"/>
      <c r="I220" s="1"/>
      <c r="J220" s="1"/>
      <c r="K220" s="1"/>
      <c r="L220" s="1"/>
      <c r="M220" s="1"/>
    </row>
    <row r="221" spans="1:13" s="7" customFormat="1" ht="17.25">
      <c r="A221" s="16" t="s">
        <v>128</v>
      </c>
      <c r="B221" s="92">
        <f>B169+B200+B220</f>
        <v>2454599.27</v>
      </c>
      <c r="C221" s="92">
        <f>C169+C200+C220</f>
        <v>2353201.66</v>
      </c>
      <c r="D221" s="92">
        <f>D169+D200+D220</f>
        <v>2399418.5099999998</v>
      </c>
      <c r="E221" s="92">
        <f>E169+E200+E220</f>
        <v>2744260</v>
      </c>
      <c r="F221" s="88"/>
      <c r="G221" s="92">
        <f>G169+G200+G220</f>
        <v>2845800</v>
      </c>
      <c r="H221" s="1"/>
      <c r="I221" s="1"/>
      <c r="J221" s="1"/>
      <c r="K221" s="1"/>
      <c r="L221" s="1"/>
      <c r="M221" s="1"/>
    </row>
    <row r="222" spans="1:13" s="7" customFormat="1" ht="17.25">
      <c r="A222" s="16" t="s">
        <v>129</v>
      </c>
      <c r="B222" s="60">
        <f>B146+B221+B159</f>
        <v>12319414.57</v>
      </c>
      <c r="C222" s="60">
        <f>C146+C221+C159</f>
        <v>13875539.18</v>
      </c>
      <c r="D222" s="71">
        <f>D146+D221+D159</f>
        <v>12038622.800000001</v>
      </c>
      <c r="E222" s="71">
        <f>E146+E221+E159</f>
        <v>11810710</v>
      </c>
      <c r="F222" s="73"/>
      <c r="G222" s="71">
        <f>G146+G221+G159</f>
        <v>12166620</v>
      </c>
      <c r="H222" s="1"/>
      <c r="I222" s="1"/>
      <c r="J222" s="1"/>
      <c r="K222" s="1"/>
      <c r="L222" s="1"/>
      <c r="M222" s="1"/>
    </row>
    <row r="223" spans="1:13" s="7" customFormat="1" ht="17.25">
      <c r="A223" s="11" t="s">
        <v>130</v>
      </c>
      <c r="B223" s="83"/>
      <c r="C223" s="83"/>
      <c r="D223" s="83"/>
      <c r="E223" s="83"/>
      <c r="F223" s="164"/>
      <c r="G223" s="83"/>
      <c r="H223" s="1"/>
      <c r="I223" s="1"/>
      <c r="J223" s="1"/>
      <c r="K223" s="1"/>
      <c r="L223" s="1"/>
      <c r="M223" s="1"/>
    </row>
    <row r="224" spans="1:13" s="7" customFormat="1" ht="17.25">
      <c r="A224" s="35" t="s">
        <v>143</v>
      </c>
      <c r="B224" s="65"/>
      <c r="C224" s="65"/>
      <c r="D224" s="65"/>
      <c r="E224" s="65"/>
      <c r="F224" s="176"/>
      <c r="G224" s="65"/>
      <c r="H224" s="1"/>
      <c r="I224" s="1"/>
      <c r="J224" s="1"/>
      <c r="K224" s="1"/>
      <c r="L224" s="1"/>
      <c r="M224" s="1"/>
    </row>
    <row r="225" spans="1:13" s="7" customFormat="1" ht="17.25">
      <c r="A225" s="22" t="s">
        <v>460</v>
      </c>
      <c r="B225" s="66"/>
      <c r="C225" s="66"/>
      <c r="D225" s="66"/>
      <c r="E225" s="66"/>
      <c r="F225" s="166"/>
      <c r="G225" s="66"/>
      <c r="H225" s="1"/>
      <c r="I225" s="1"/>
      <c r="J225" s="1"/>
      <c r="K225" s="1"/>
      <c r="L225" s="1"/>
      <c r="M225" s="1"/>
    </row>
    <row r="226" spans="1:13" s="7" customFormat="1" ht="17.25">
      <c r="A226" s="22" t="s">
        <v>461</v>
      </c>
      <c r="B226" s="66"/>
      <c r="C226" s="66"/>
      <c r="D226" s="66"/>
      <c r="E226" s="66"/>
      <c r="F226" s="166"/>
      <c r="G226" s="66"/>
      <c r="H226" s="1"/>
      <c r="I226" s="1"/>
      <c r="J226" s="1"/>
      <c r="K226" s="1"/>
      <c r="L226" s="1"/>
      <c r="M226" s="1"/>
    </row>
    <row r="227" spans="1:13" s="7" customFormat="1" ht="17.25">
      <c r="A227" s="22" t="s">
        <v>25</v>
      </c>
      <c r="B227" s="66">
        <v>196740</v>
      </c>
      <c r="C227" s="66">
        <v>0</v>
      </c>
      <c r="D227" s="66">
        <v>0</v>
      </c>
      <c r="E227" s="66">
        <v>249240</v>
      </c>
      <c r="F227" s="95">
        <v>-0.1976</v>
      </c>
      <c r="G227" s="66">
        <v>200000</v>
      </c>
      <c r="H227" s="1"/>
      <c r="I227" s="1"/>
      <c r="J227" s="1"/>
      <c r="K227" s="1"/>
      <c r="L227" s="1"/>
      <c r="M227" s="1"/>
    </row>
    <row r="228" spans="1:13" s="7" customFormat="1" ht="17.25">
      <c r="A228" s="22" t="s">
        <v>462</v>
      </c>
      <c r="B228" s="66">
        <v>0</v>
      </c>
      <c r="C228" s="66">
        <v>0</v>
      </c>
      <c r="D228" s="66">
        <v>0</v>
      </c>
      <c r="E228" s="66">
        <v>216000</v>
      </c>
      <c r="F228" s="172">
        <v>0</v>
      </c>
      <c r="G228" s="66">
        <v>216000</v>
      </c>
      <c r="H228" s="1"/>
      <c r="I228" s="1"/>
      <c r="J228" s="1"/>
      <c r="K228" s="1"/>
      <c r="L228" s="1"/>
      <c r="M228" s="1"/>
    </row>
    <row r="229" spans="1:13" s="7" customFormat="1" ht="17.25">
      <c r="A229" s="27" t="s">
        <v>32</v>
      </c>
      <c r="B229" s="67">
        <v>0</v>
      </c>
      <c r="C229" s="67">
        <v>0</v>
      </c>
      <c r="D229" s="67">
        <v>0</v>
      </c>
      <c r="E229" s="67">
        <v>24000</v>
      </c>
      <c r="F229" s="171">
        <v>0</v>
      </c>
      <c r="G229" s="67">
        <v>24000</v>
      </c>
      <c r="H229" s="1"/>
      <c r="I229" s="1"/>
      <c r="J229" s="1"/>
      <c r="K229" s="1"/>
      <c r="L229" s="1"/>
      <c r="M229" s="1"/>
    </row>
    <row r="230" spans="1:13" s="7" customFormat="1" ht="17.25">
      <c r="A230" s="32" t="s">
        <v>107</v>
      </c>
      <c r="B230" s="93">
        <f>B227</f>
        <v>196740</v>
      </c>
      <c r="C230" s="93">
        <v>0</v>
      </c>
      <c r="D230" s="93">
        <v>0</v>
      </c>
      <c r="E230" s="93">
        <f>E227+E228+E229</f>
        <v>489240</v>
      </c>
      <c r="F230" s="134"/>
      <c r="G230" s="93">
        <f>G227+G228+G229</f>
        <v>440000</v>
      </c>
      <c r="H230" s="1"/>
      <c r="I230" s="1"/>
      <c r="J230" s="1"/>
      <c r="K230" s="1"/>
      <c r="L230" s="1"/>
      <c r="M230" s="1"/>
    </row>
    <row r="231" spans="1:13" s="7" customFormat="1" ht="17.25">
      <c r="A231" s="16" t="s">
        <v>108</v>
      </c>
      <c r="B231" s="92">
        <f>B227</f>
        <v>196740</v>
      </c>
      <c r="C231" s="92">
        <v>0</v>
      </c>
      <c r="D231" s="92">
        <v>0</v>
      </c>
      <c r="E231" s="92">
        <f>E230</f>
        <v>489240</v>
      </c>
      <c r="F231" s="135"/>
      <c r="G231" s="92">
        <f>G230</f>
        <v>440000</v>
      </c>
      <c r="H231" s="1"/>
      <c r="I231" s="1"/>
      <c r="J231" s="1"/>
      <c r="K231" s="1"/>
      <c r="L231" s="1"/>
      <c r="M231" s="1"/>
    </row>
    <row r="232" spans="1:13" s="7" customFormat="1" ht="17.25">
      <c r="A232" s="22" t="s">
        <v>131</v>
      </c>
      <c r="B232" s="66"/>
      <c r="C232" s="66"/>
      <c r="D232" s="66"/>
      <c r="E232" s="66"/>
      <c r="F232" s="166"/>
      <c r="G232" s="66"/>
      <c r="H232" s="1"/>
      <c r="I232" s="1"/>
      <c r="J232" s="1"/>
      <c r="K232" s="1"/>
      <c r="L232" s="1"/>
      <c r="M232" s="1"/>
    </row>
    <row r="233" spans="1:13" s="7" customFormat="1" ht="17.25">
      <c r="A233" s="24" t="s">
        <v>132</v>
      </c>
      <c r="B233" s="66"/>
      <c r="C233" s="66"/>
      <c r="D233" s="66"/>
      <c r="E233" s="66"/>
      <c r="F233" s="166"/>
      <c r="G233" s="66"/>
      <c r="H233" s="1"/>
      <c r="I233" s="1"/>
      <c r="J233" s="1"/>
      <c r="K233" s="1"/>
      <c r="L233" s="1"/>
    </row>
    <row r="234" spans="1:13" s="7" customFormat="1" ht="17.25">
      <c r="A234" s="22" t="s">
        <v>463</v>
      </c>
      <c r="B234" s="66">
        <v>0</v>
      </c>
      <c r="C234" s="66">
        <v>0</v>
      </c>
      <c r="D234" s="66">
        <v>0</v>
      </c>
      <c r="E234" s="66">
        <v>38500</v>
      </c>
      <c r="F234" s="95">
        <v>-0.76619999999999999</v>
      </c>
      <c r="G234" s="66">
        <v>9000</v>
      </c>
      <c r="H234" s="1"/>
      <c r="I234" s="1"/>
      <c r="J234" s="1"/>
      <c r="K234" s="1"/>
      <c r="L234" s="1"/>
    </row>
    <row r="235" spans="1:13" s="7" customFormat="1" ht="17.25">
      <c r="A235" s="22" t="s">
        <v>464</v>
      </c>
      <c r="B235" s="66"/>
      <c r="C235" s="66"/>
      <c r="D235" s="66"/>
      <c r="E235" s="66"/>
      <c r="F235" s="175"/>
      <c r="G235" s="66"/>
      <c r="H235" s="1"/>
      <c r="I235" s="1"/>
      <c r="J235" s="1"/>
      <c r="K235" s="1"/>
      <c r="L235" s="1"/>
    </row>
    <row r="236" spans="1:13" s="7" customFormat="1" ht="17.25">
      <c r="A236" s="22" t="s">
        <v>109</v>
      </c>
      <c r="B236" s="56">
        <v>0</v>
      </c>
      <c r="C236" s="56">
        <v>6120</v>
      </c>
      <c r="D236" s="56">
        <v>800</v>
      </c>
      <c r="E236" s="56">
        <v>5000</v>
      </c>
      <c r="F236" s="119">
        <v>-0.8</v>
      </c>
      <c r="G236" s="56">
        <v>1000</v>
      </c>
      <c r="H236" s="1"/>
      <c r="I236" s="1"/>
      <c r="J236" s="1"/>
      <c r="K236" s="1"/>
      <c r="L236" s="1"/>
    </row>
    <row r="237" spans="1:13" s="7" customFormat="1" ht="17.25">
      <c r="A237" s="32" t="s">
        <v>40</v>
      </c>
      <c r="B237" s="100">
        <v>0</v>
      </c>
      <c r="C237" s="100">
        <f>C233+C234+C235+C236</f>
        <v>6120</v>
      </c>
      <c r="D237" s="100">
        <f>D236</f>
        <v>800</v>
      </c>
      <c r="E237" s="100">
        <f>E234+E235+E236</f>
        <v>43500</v>
      </c>
      <c r="F237" s="101"/>
      <c r="G237" s="100">
        <f>G234+G235+G236</f>
        <v>10000</v>
      </c>
      <c r="H237" s="1"/>
      <c r="I237" s="1"/>
      <c r="J237" s="1"/>
      <c r="K237" s="1"/>
      <c r="L237" s="1"/>
    </row>
    <row r="238" spans="1:13" s="7" customFormat="1" ht="17.25">
      <c r="A238" s="52" t="s">
        <v>41</v>
      </c>
      <c r="B238" s="19"/>
      <c r="C238" s="19"/>
      <c r="D238" s="19"/>
      <c r="E238" s="19"/>
      <c r="F238" s="19"/>
      <c r="G238" s="19"/>
      <c r="H238" s="1"/>
      <c r="I238" s="1"/>
      <c r="J238" s="1"/>
      <c r="K238" s="1"/>
      <c r="L238" s="1"/>
    </row>
    <row r="239" spans="1:13" s="7" customFormat="1" ht="17.25">
      <c r="A239" s="27" t="s">
        <v>42</v>
      </c>
      <c r="B239" s="83">
        <v>0</v>
      </c>
      <c r="C239" s="83">
        <v>0</v>
      </c>
      <c r="D239" s="83">
        <v>0</v>
      </c>
      <c r="E239" s="83">
        <v>98000</v>
      </c>
      <c r="F239" s="179">
        <v>1</v>
      </c>
      <c r="G239" s="83">
        <v>102000</v>
      </c>
      <c r="H239" s="1"/>
      <c r="I239" s="1"/>
      <c r="J239" s="1"/>
      <c r="K239" s="1"/>
      <c r="L239" s="1"/>
    </row>
    <row r="240" spans="1:13" s="7" customFormat="1" ht="17.25">
      <c r="A240" s="27" t="s">
        <v>44</v>
      </c>
      <c r="B240" s="224"/>
      <c r="C240" s="224"/>
      <c r="D240" s="224"/>
      <c r="E240" s="224"/>
      <c r="F240" s="224"/>
      <c r="G240" s="224"/>
      <c r="H240" s="1"/>
      <c r="I240" s="1"/>
      <c r="J240" s="1"/>
      <c r="K240" s="1"/>
      <c r="L240" s="1"/>
    </row>
    <row r="241" spans="1:12" s="7" customFormat="1" ht="17.25">
      <c r="A241" s="26" t="s">
        <v>308</v>
      </c>
      <c r="B241" s="209"/>
      <c r="C241" s="209"/>
      <c r="D241" s="209"/>
      <c r="E241" s="209"/>
      <c r="F241" s="209"/>
      <c r="G241" s="209"/>
      <c r="H241" s="1"/>
      <c r="I241" s="1"/>
      <c r="J241" s="1"/>
      <c r="K241" s="1"/>
      <c r="L241" s="1"/>
    </row>
    <row r="242" spans="1:12" s="7" customFormat="1" ht="17.25">
      <c r="A242" s="4" t="s">
        <v>309</v>
      </c>
      <c r="B242" s="200">
        <v>5000</v>
      </c>
      <c r="C242" s="200">
        <v>0</v>
      </c>
      <c r="D242" s="200">
        <v>0</v>
      </c>
      <c r="E242" s="200">
        <v>0</v>
      </c>
      <c r="F242" s="211">
        <v>0</v>
      </c>
      <c r="G242" s="200">
        <v>0</v>
      </c>
      <c r="H242" s="1"/>
      <c r="I242" s="1"/>
      <c r="J242" s="1"/>
      <c r="K242" s="1"/>
      <c r="L242" s="1"/>
    </row>
    <row r="243" spans="1:12" s="7" customFormat="1" ht="17.25">
      <c r="A243" s="6" t="s">
        <v>310</v>
      </c>
      <c r="B243" s="202"/>
      <c r="C243" s="202"/>
      <c r="D243" s="202"/>
      <c r="E243" s="202"/>
      <c r="F243" s="202"/>
      <c r="G243" s="202"/>
      <c r="H243" s="1"/>
      <c r="I243" s="1"/>
      <c r="J243" s="1"/>
      <c r="K243" s="1"/>
      <c r="L243" s="1"/>
    </row>
    <row r="244" spans="1:12" ht="17.25">
      <c r="A244" s="26" t="s">
        <v>133</v>
      </c>
      <c r="B244" s="83">
        <f>69000-81199.2</f>
        <v>-12199.199999999997</v>
      </c>
      <c r="C244" s="83">
        <f>17675+20357+9050</f>
        <v>47082</v>
      </c>
      <c r="D244" s="83">
        <v>0</v>
      </c>
      <c r="E244" s="83">
        <v>20000</v>
      </c>
      <c r="F244" s="174">
        <v>-1</v>
      </c>
      <c r="G244" s="83">
        <v>0</v>
      </c>
      <c r="H244" s="1"/>
      <c r="I244" s="1"/>
      <c r="J244" s="1"/>
      <c r="K244" s="1"/>
      <c r="L244" s="1"/>
    </row>
    <row r="245" spans="1:12" ht="17.25">
      <c r="A245" s="27" t="s">
        <v>134</v>
      </c>
      <c r="B245" s="65">
        <v>6656</v>
      </c>
      <c r="C245" s="65">
        <v>6378</v>
      </c>
      <c r="D245" s="65">
        <f>50000-10000</f>
        <v>40000</v>
      </c>
      <c r="E245" s="65">
        <v>27000</v>
      </c>
      <c r="F245" s="119">
        <v>1</v>
      </c>
      <c r="G245" s="65">
        <v>10000</v>
      </c>
      <c r="H245" s="1"/>
      <c r="I245" s="1"/>
      <c r="J245" s="1"/>
      <c r="K245" s="1"/>
      <c r="L245" s="1"/>
    </row>
    <row r="246" spans="1:12" ht="17.25">
      <c r="A246" s="27" t="s">
        <v>601</v>
      </c>
      <c r="B246" s="83">
        <v>0</v>
      </c>
      <c r="C246" s="83">
        <v>0</v>
      </c>
      <c r="D246" s="83">
        <v>0</v>
      </c>
      <c r="E246" s="83">
        <v>0</v>
      </c>
      <c r="F246" s="174">
        <v>1</v>
      </c>
      <c r="G246" s="83">
        <v>40000</v>
      </c>
      <c r="H246" s="1"/>
      <c r="I246" s="1"/>
      <c r="J246" s="1"/>
      <c r="K246" s="1"/>
      <c r="L246" s="1"/>
    </row>
    <row r="247" spans="1:12" ht="17.25">
      <c r="A247" s="27" t="s">
        <v>311</v>
      </c>
      <c r="B247" s="200">
        <v>25560</v>
      </c>
      <c r="C247" s="200">
        <v>22439</v>
      </c>
      <c r="D247" s="200">
        <v>0</v>
      </c>
      <c r="E247" s="200">
        <v>45000</v>
      </c>
      <c r="F247" s="211">
        <v>-1</v>
      </c>
      <c r="G247" s="200">
        <v>0</v>
      </c>
      <c r="H247" s="1"/>
      <c r="I247" s="1"/>
      <c r="J247" s="1"/>
      <c r="K247" s="1"/>
      <c r="L247" s="1"/>
    </row>
    <row r="248" spans="1:12" ht="17.25">
      <c r="A248" s="24" t="s">
        <v>312</v>
      </c>
      <c r="B248" s="202"/>
      <c r="C248" s="202"/>
      <c r="D248" s="202"/>
      <c r="E248" s="202"/>
      <c r="F248" s="202"/>
      <c r="G248" s="202"/>
      <c r="H248" s="1"/>
      <c r="I248" s="1"/>
      <c r="J248" s="1"/>
      <c r="K248" s="1"/>
      <c r="L248" s="1"/>
    </row>
    <row r="249" spans="1:12" ht="17.25">
      <c r="A249" s="27" t="s">
        <v>313</v>
      </c>
      <c r="B249" s="200">
        <v>60000</v>
      </c>
      <c r="C249" s="200">
        <v>0</v>
      </c>
      <c r="D249" s="200">
        <f>50000-10000</f>
        <v>40000</v>
      </c>
      <c r="E249" s="200">
        <v>0</v>
      </c>
      <c r="F249" s="203">
        <v>0</v>
      </c>
      <c r="G249" s="200">
        <v>0</v>
      </c>
      <c r="H249" s="1"/>
      <c r="I249" s="1"/>
      <c r="J249" s="1"/>
      <c r="K249" s="1"/>
      <c r="L249" s="1"/>
    </row>
    <row r="250" spans="1:12" ht="17.25">
      <c r="A250" s="26" t="s">
        <v>600</v>
      </c>
      <c r="B250" s="202"/>
      <c r="C250" s="202"/>
      <c r="D250" s="202"/>
      <c r="E250" s="202"/>
      <c r="F250" s="202"/>
      <c r="G250" s="202"/>
      <c r="H250" s="1"/>
      <c r="I250" s="1"/>
      <c r="J250" s="1"/>
      <c r="K250" s="1"/>
      <c r="L250" s="1"/>
    </row>
    <row r="251" spans="1:12" ht="17.25">
      <c r="A251" s="27" t="s">
        <v>415</v>
      </c>
      <c r="B251" s="200">
        <v>0</v>
      </c>
      <c r="C251" s="200">
        <v>0</v>
      </c>
      <c r="D251" s="200">
        <f>65000-5436</f>
        <v>59564</v>
      </c>
      <c r="E251" s="200">
        <v>0</v>
      </c>
      <c r="F251" s="203">
        <v>0</v>
      </c>
      <c r="G251" s="200">
        <v>0</v>
      </c>
    </row>
    <row r="252" spans="1:12" ht="17.25">
      <c r="A252" s="24" t="s">
        <v>315</v>
      </c>
      <c r="B252" s="202"/>
      <c r="C252" s="202"/>
      <c r="D252" s="202"/>
      <c r="E252" s="202"/>
      <c r="F252" s="202"/>
      <c r="G252" s="202"/>
    </row>
    <row r="253" spans="1:12" ht="17.25">
      <c r="A253" s="24" t="s">
        <v>135</v>
      </c>
      <c r="B253" s="65">
        <v>0</v>
      </c>
      <c r="C253" s="65">
        <v>0</v>
      </c>
      <c r="D253" s="65">
        <v>0</v>
      </c>
      <c r="E253" s="65">
        <v>0</v>
      </c>
      <c r="F253" s="59">
        <v>-1</v>
      </c>
      <c r="G253" s="65">
        <v>10000</v>
      </c>
    </row>
    <row r="254" spans="1:12" ht="17.25">
      <c r="A254" s="32" t="s">
        <v>50</v>
      </c>
      <c r="B254" s="93">
        <f>SUM(B242:B253)</f>
        <v>85016.8</v>
      </c>
      <c r="C254" s="93">
        <f>SUM(C242:C253)</f>
        <v>75899</v>
      </c>
      <c r="D254" s="93">
        <f>SUM(D249:D253)</f>
        <v>99564</v>
      </c>
      <c r="E254" s="93">
        <f>SUM(E239:E253)</f>
        <v>190000</v>
      </c>
      <c r="F254" s="73"/>
      <c r="G254" s="93">
        <f>SUM(G238:G253)</f>
        <v>162000</v>
      </c>
    </row>
    <row r="255" spans="1:12" ht="17.25">
      <c r="A255" s="21" t="s">
        <v>51</v>
      </c>
      <c r="B255" s="58"/>
      <c r="C255" s="58"/>
      <c r="D255" s="58"/>
      <c r="E255" s="58"/>
      <c r="F255" s="166"/>
      <c r="G255" s="58"/>
    </row>
    <row r="256" spans="1:12" ht="17.25">
      <c r="A256" s="22" t="s">
        <v>56</v>
      </c>
      <c r="B256" s="56">
        <v>0</v>
      </c>
      <c r="C256" s="56">
        <v>0</v>
      </c>
      <c r="D256" s="56">
        <v>0</v>
      </c>
      <c r="E256" s="56">
        <v>30000</v>
      </c>
      <c r="F256" s="62">
        <v>-0.33329999999999999</v>
      </c>
      <c r="G256" s="56">
        <v>20000</v>
      </c>
    </row>
    <row r="257" spans="1:13" s="7" customFormat="1" ht="17.25">
      <c r="A257" s="22" t="s">
        <v>57</v>
      </c>
      <c r="B257" s="65">
        <v>64000</v>
      </c>
      <c r="C257" s="65">
        <v>73611.5</v>
      </c>
      <c r="D257" s="65">
        <f>70000-18884</f>
        <v>51116</v>
      </c>
      <c r="E257" s="65">
        <v>70000</v>
      </c>
      <c r="F257" s="62">
        <v>-0.28570000000000001</v>
      </c>
      <c r="G257" s="65">
        <v>50000</v>
      </c>
      <c r="H257" s="1"/>
      <c r="I257" s="1"/>
      <c r="J257" s="1"/>
      <c r="K257" s="1"/>
      <c r="L257" s="1"/>
      <c r="M257" s="1"/>
    </row>
    <row r="258" spans="1:13" s="7" customFormat="1" ht="17.25">
      <c r="A258" s="22" t="s">
        <v>602</v>
      </c>
      <c r="B258" s="65">
        <v>0</v>
      </c>
      <c r="C258" s="65">
        <v>0</v>
      </c>
      <c r="D258" s="65">
        <v>0</v>
      </c>
      <c r="E258" s="65">
        <v>0</v>
      </c>
      <c r="F258" s="59">
        <v>1</v>
      </c>
      <c r="G258" s="65">
        <v>20000</v>
      </c>
      <c r="H258" s="1"/>
      <c r="I258" s="1"/>
      <c r="J258" s="1"/>
      <c r="K258" s="1"/>
      <c r="L258" s="1"/>
      <c r="M258" s="1"/>
    </row>
    <row r="259" spans="1:13" s="7" customFormat="1" ht="17.25">
      <c r="A259" s="16" t="s">
        <v>60</v>
      </c>
      <c r="B259" s="93">
        <f>SUM(B256:B258)</f>
        <v>64000</v>
      </c>
      <c r="C259" s="93">
        <f>SUM(C256:C258)</f>
        <v>73611.5</v>
      </c>
      <c r="D259" s="93">
        <f>SUM(D256:D258)</f>
        <v>51116</v>
      </c>
      <c r="E259" s="93">
        <f>SUM(E256:E258)</f>
        <v>100000</v>
      </c>
      <c r="F259" s="73"/>
      <c r="G259" s="93">
        <f>SUM(G256:G258)</f>
        <v>90000</v>
      </c>
      <c r="H259" s="1"/>
      <c r="I259" s="1"/>
      <c r="J259" s="1"/>
      <c r="K259" s="1"/>
      <c r="L259" s="1"/>
      <c r="M259" s="1"/>
    </row>
    <row r="260" spans="1:13" s="7" customFormat="1" ht="17.25">
      <c r="A260" s="15" t="s">
        <v>68</v>
      </c>
      <c r="B260" s="92">
        <f>B237+B254+B259</f>
        <v>149016.79999999999</v>
      </c>
      <c r="C260" s="92">
        <f>C237+C254+C259</f>
        <v>155630.5</v>
      </c>
      <c r="D260" s="92">
        <f>D237+D254+D259</f>
        <v>151480</v>
      </c>
      <c r="E260" s="92">
        <f>E237+E254+E259</f>
        <v>333500</v>
      </c>
      <c r="F260" s="88"/>
      <c r="G260" s="92">
        <f>G237+G254+G259</f>
        <v>262000</v>
      </c>
      <c r="H260" s="1"/>
      <c r="I260" s="1"/>
      <c r="J260" s="1"/>
      <c r="K260" s="1"/>
      <c r="L260" s="1"/>
      <c r="M260" s="1"/>
    </row>
    <row r="261" spans="1:13" s="7" customFormat="1" ht="17.25">
      <c r="A261" s="30" t="s">
        <v>69</v>
      </c>
      <c r="B261" s="65"/>
      <c r="C261" s="65"/>
      <c r="D261" s="65"/>
      <c r="E261" s="65"/>
      <c r="F261" s="176"/>
      <c r="G261" s="65"/>
      <c r="H261" s="1"/>
      <c r="I261" s="1"/>
      <c r="J261" s="1"/>
      <c r="K261" s="1"/>
      <c r="L261" s="1"/>
      <c r="M261" s="1"/>
    </row>
    <row r="262" spans="1:13" s="7" customFormat="1" ht="17.25">
      <c r="A262" s="21" t="s">
        <v>70</v>
      </c>
      <c r="B262" s="66"/>
      <c r="C262" s="66"/>
      <c r="D262" s="66"/>
      <c r="E262" s="66"/>
      <c r="F262" s="166"/>
      <c r="G262" s="66"/>
      <c r="H262" s="1"/>
      <c r="I262" s="1"/>
      <c r="J262" s="1"/>
      <c r="K262" s="1"/>
      <c r="L262" s="1"/>
      <c r="M262" s="1"/>
    </row>
    <row r="263" spans="1:13" s="7" customFormat="1" ht="17.25">
      <c r="A263" s="22" t="s">
        <v>137</v>
      </c>
      <c r="B263" s="66"/>
      <c r="C263" s="66"/>
      <c r="D263" s="66"/>
      <c r="E263" s="66"/>
      <c r="F263" s="172"/>
      <c r="G263" s="66"/>
      <c r="H263" s="1"/>
      <c r="I263" s="1"/>
      <c r="J263" s="1"/>
      <c r="K263" s="1"/>
      <c r="L263" s="1"/>
      <c r="M263" s="1"/>
    </row>
    <row r="264" spans="1:13" s="7" customFormat="1" ht="17.25">
      <c r="A264" s="8" t="s">
        <v>467</v>
      </c>
      <c r="B264" s="65">
        <v>0</v>
      </c>
      <c r="C264" s="65">
        <v>22980</v>
      </c>
      <c r="D264" s="65">
        <v>0</v>
      </c>
      <c r="E264" s="65">
        <v>0</v>
      </c>
      <c r="F264" s="119">
        <v>0</v>
      </c>
      <c r="G264" s="65">
        <v>0</v>
      </c>
      <c r="H264" s="1"/>
      <c r="I264" s="1"/>
      <c r="J264" s="1"/>
      <c r="K264" s="1"/>
      <c r="L264" s="1"/>
      <c r="M264" s="1"/>
    </row>
    <row r="265" spans="1:13" s="7" customFormat="1" ht="17.25">
      <c r="A265" s="137" t="s">
        <v>465</v>
      </c>
      <c r="B265" s="66">
        <v>0</v>
      </c>
      <c r="C265" s="66">
        <v>0</v>
      </c>
      <c r="D265" s="66">
        <v>0</v>
      </c>
      <c r="E265" s="66">
        <v>85000</v>
      </c>
      <c r="F265" s="172">
        <v>-1</v>
      </c>
      <c r="G265" s="66">
        <v>0</v>
      </c>
      <c r="H265" s="1"/>
      <c r="I265" s="1"/>
      <c r="J265" s="1"/>
      <c r="K265" s="1"/>
      <c r="L265" s="1"/>
      <c r="M265" s="1"/>
    </row>
    <row r="266" spans="1:13" s="7" customFormat="1" ht="17.25">
      <c r="A266" s="26" t="s">
        <v>136</v>
      </c>
      <c r="B266" s="65"/>
      <c r="C266" s="65"/>
      <c r="D266" s="65"/>
      <c r="E266" s="65"/>
      <c r="F266" s="176"/>
      <c r="G266" s="65"/>
      <c r="H266" s="1"/>
      <c r="I266" s="1"/>
      <c r="J266" s="1"/>
      <c r="K266" s="1"/>
      <c r="L266" s="1"/>
      <c r="M266" s="1"/>
    </row>
    <row r="267" spans="1:13" s="7" customFormat="1" ht="17.25">
      <c r="A267" s="51" t="s">
        <v>316</v>
      </c>
      <c r="B267" s="200">
        <v>0</v>
      </c>
      <c r="C267" s="200">
        <v>0</v>
      </c>
      <c r="D267" s="200">
        <v>0</v>
      </c>
      <c r="E267" s="200">
        <v>0</v>
      </c>
      <c r="F267" s="207"/>
      <c r="G267" s="200">
        <v>0</v>
      </c>
      <c r="H267" s="1"/>
      <c r="I267" s="1"/>
      <c r="J267" s="1"/>
      <c r="K267" s="1"/>
      <c r="L267" s="1"/>
      <c r="M267" s="1"/>
    </row>
    <row r="268" spans="1:13" s="7" customFormat="1" ht="17.25">
      <c r="A268" s="18" t="s">
        <v>317</v>
      </c>
      <c r="B268" s="202"/>
      <c r="C268" s="202"/>
      <c r="D268" s="202"/>
      <c r="E268" s="202"/>
      <c r="F268" s="202"/>
      <c r="G268" s="202"/>
      <c r="H268" s="1"/>
      <c r="I268" s="1"/>
      <c r="J268" s="1"/>
      <c r="K268" s="1"/>
      <c r="L268" s="1"/>
      <c r="M268" s="1"/>
    </row>
    <row r="269" spans="1:13" s="7" customFormat="1" ht="17.25">
      <c r="A269" s="22" t="s">
        <v>179</v>
      </c>
      <c r="B269" s="66"/>
      <c r="C269" s="66"/>
      <c r="D269" s="66"/>
      <c r="E269" s="66"/>
      <c r="F269" s="166"/>
      <c r="G269" s="66"/>
      <c r="H269" s="1"/>
      <c r="I269" s="1"/>
      <c r="J269" s="1"/>
      <c r="K269" s="1"/>
      <c r="L269" s="1"/>
      <c r="M269" s="1"/>
    </row>
    <row r="270" spans="1:13" s="7" customFormat="1" ht="17.25">
      <c r="A270" s="137" t="s">
        <v>466</v>
      </c>
      <c r="B270" s="66">
        <v>0</v>
      </c>
      <c r="C270" s="66">
        <v>0</v>
      </c>
      <c r="D270" s="66">
        <v>0</v>
      </c>
      <c r="E270" s="66">
        <v>20000</v>
      </c>
      <c r="F270" s="172">
        <v>1</v>
      </c>
      <c r="G270" s="66">
        <v>20000</v>
      </c>
      <c r="H270" s="1"/>
      <c r="I270" s="1"/>
      <c r="J270" s="1"/>
      <c r="K270" s="1"/>
      <c r="L270" s="1"/>
      <c r="M270" s="1"/>
    </row>
    <row r="271" spans="1:13" s="7" customFormat="1" ht="17.25">
      <c r="A271" s="18" t="s">
        <v>138</v>
      </c>
      <c r="B271" s="65">
        <v>0</v>
      </c>
      <c r="C271" s="65">
        <v>0</v>
      </c>
      <c r="D271" s="65">
        <v>0</v>
      </c>
      <c r="E271" s="65">
        <v>0</v>
      </c>
      <c r="F271" s="75"/>
      <c r="G271" s="65">
        <v>0</v>
      </c>
      <c r="H271" s="1"/>
      <c r="I271" s="1"/>
      <c r="J271" s="1"/>
      <c r="K271" s="1"/>
      <c r="L271" s="1"/>
      <c r="M271" s="1"/>
    </row>
    <row r="272" spans="1:13" s="7" customFormat="1" ht="17.25">
      <c r="A272" s="22" t="s">
        <v>127</v>
      </c>
      <c r="B272" s="66">
        <v>0</v>
      </c>
      <c r="C272" s="66">
        <v>0</v>
      </c>
      <c r="D272" s="66">
        <v>80785</v>
      </c>
      <c r="E272" s="66">
        <v>100000</v>
      </c>
      <c r="F272" s="105" t="s">
        <v>468</v>
      </c>
      <c r="G272" s="66">
        <v>220000</v>
      </c>
      <c r="H272" s="1"/>
      <c r="I272" s="1"/>
      <c r="J272" s="1"/>
      <c r="K272" s="1"/>
      <c r="L272" s="1"/>
      <c r="M272" s="1"/>
    </row>
    <row r="273" spans="1:12" s="7" customFormat="1" ht="17.25">
      <c r="A273" s="15" t="s">
        <v>82</v>
      </c>
      <c r="B273" s="92">
        <v>0</v>
      </c>
      <c r="C273" s="92">
        <f>C267+C268+C271+C272</f>
        <v>0</v>
      </c>
      <c r="D273" s="92">
        <f>D272</f>
        <v>80785</v>
      </c>
      <c r="E273" s="92">
        <f>E265+E270+E272</f>
        <v>205000</v>
      </c>
      <c r="F273" s="88"/>
      <c r="G273" s="92">
        <f>G265+G270+G272</f>
        <v>240000</v>
      </c>
      <c r="H273" s="1"/>
      <c r="I273" s="1"/>
      <c r="J273" s="1"/>
      <c r="K273" s="1"/>
      <c r="L273" s="1"/>
    </row>
    <row r="274" spans="1:12" s="7" customFormat="1" ht="17.25">
      <c r="A274" s="16" t="s">
        <v>88</v>
      </c>
      <c r="B274" s="60">
        <f>SUM(B271:B273)</f>
        <v>0</v>
      </c>
      <c r="C274" s="60">
        <f>22980</f>
        <v>22980</v>
      </c>
      <c r="D274" s="60">
        <f>D273</f>
        <v>80785</v>
      </c>
      <c r="E274" s="60">
        <f>E273</f>
        <v>205000</v>
      </c>
      <c r="F274" s="73"/>
      <c r="G274" s="60">
        <f>G273</f>
        <v>240000</v>
      </c>
      <c r="H274" s="1"/>
      <c r="I274" s="1"/>
      <c r="J274" s="1"/>
      <c r="K274" s="1"/>
      <c r="L274" s="1"/>
    </row>
    <row r="275" spans="1:12" s="7" customFormat="1" ht="17.25">
      <c r="A275" s="16" t="s">
        <v>139</v>
      </c>
      <c r="B275" s="100">
        <f>B231+B260+B274</f>
        <v>345756.8</v>
      </c>
      <c r="C275" s="100">
        <f>C274+C231+C260</f>
        <v>178610.5</v>
      </c>
      <c r="D275" s="100">
        <f>D274+D231+D260</f>
        <v>232265</v>
      </c>
      <c r="E275" s="100">
        <f>E274+E231+E260</f>
        <v>1027740</v>
      </c>
      <c r="F275" s="101"/>
      <c r="G275" s="100">
        <f>G274+G231+G260</f>
        <v>942000</v>
      </c>
      <c r="H275" s="1"/>
      <c r="I275" s="1"/>
      <c r="J275" s="1"/>
      <c r="K275" s="1"/>
      <c r="L275" s="1"/>
    </row>
    <row r="276" spans="1:12" s="7" customFormat="1" ht="17.25">
      <c r="A276" s="16" t="s">
        <v>140</v>
      </c>
      <c r="B276" s="93">
        <f>B275</f>
        <v>345756.8</v>
      </c>
      <c r="C276" s="93">
        <f>C275</f>
        <v>178610.5</v>
      </c>
      <c r="D276" s="93">
        <f>D275</f>
        <v>232265</v>
      </c>
      <c r="E276" s="93">
        <f>E275</f>
        <v>1027740</v>
      </c>
      <c r="F276" s="73"/>
      <c r="G276" s="93">
        <f>G275</f>
        <v>942000</v>
      </c>
      <c r="H276" s="1"/>
      <c r="I276" s="1"/>
      <c r="J276" s="1"/>
      <c r="K276" s="1"/>
      <c r="L276" s="1"/>
    </row>
    <row r="277" spans="1:12" s="7" customFormat="1" ht="17.25">
      <c r="A277" s="23" t="s">
        <v>141</v>
      </c>
      <c r="B277" s="66"/>
      <c r="C277" s="66"/>
      <c r="D277" s="66"/>
      <c r="E277" s="66"/>
      <c r="F277" s="166"/>
      <c r="G277" s="66"/>
      <c r="H277" s="1"/>
      <c r="I277" s="1"/>
      <c r="J277" s="1"/>
      <c r="K277" s="1"/>
      <c r="L277" s="1"/>
    </row>
    <row r="278" spans="1:12" s="7" customFormat="1" ht="17.25">
      <c r="A278" s="11" t="s">
        <v>142</v>
      </c>
      <c r="B278" s="65"/>
      <c r="C278" s="65"/>
      <c r="D278" s="65"/>
      <c r="E278" s="65"/>
      <c r="F278" s="176"/>
      <c r="G278" s="65"/>
      <c r="H278" s="1"/>
      <c r="I278" s="1"/>
      <c r="J278" s="1"/>
      <c r="K278" s="1"/>
      <c r="L278" s="1"/>
    </row>
    <row r="279" spans="1:12" s="7" customFormat="1" ht="17.25">
      <c r="A279" s="12" t="s">
        <v>105</v>
      </c>
      <c r="B279" s="66"/>
      <c r="C279" s="66"/>
      <c r="D279" s="66"/>
      <c r="E279" s="66"/>
      <c r="F279" s="166"/>
      <c r="G279" s="66"/>
      <c r="H279" s="1"/>
      <c r="I279" s="1"/>
      <c r="J279" s="1"/>
      <c r="K279" s="1"/>
      <c r="L279" s="1"/>
    </row>
    <row r="280" spans="1:12" ht="17.25">
      <c r="A280" s="30" t="s">
        <v>24</v>
      </c>
      <c r="B280" s="83"/>
      <c r="C280" s="83"/>
      <c r="D280" s="83"/>
      <c r="E280" s="83"/>
      <c r="F280" s="164"/>
      <c r="G280" s="83"/>
      <c r="H280" s="1"/>
      <c r="I280" s="1"/>
      <c r="J280" s="1"/>
      <c r="K280" s="1"/>
      <c r="L280" s="1"/>
    </row>
    <row r="281" spans="1:12" ht="17.25">
      <c r="A281" s="22" t="s">
        <v>25</v>
      </c>
      <c r="B281" s="65">
        <v>722334.67</v>
      </c>
      <c r="C281" s="65">
        <v>819840</v>
      </c>
      <c r="D281" s="65">
        <f>863640-10000-20000-13440</f>
        <v>820200</v>
      </c>
      <c r="E281" s="65">
        <v>926000</v>
      </c>
      <c r="F281" s="62">
        <v>7.22E-2</v>
      </c>
      <c r="G281" s="65">
        <v>396000</v>
      </c>
      <c r="H281" s="1"/>
      <c r="I281" s="1"/>
      <c r="J281" s="1"/>
      <c r="K281" s="1"/>
      <c r="L281" s="1"/>
    </row>
    <row r="282" spans="1:12" ht="17.25">
      <c r="A282" s="26" t="s">
        <v>26</v>
      </c>
      <c r="B282" s="66">
        <v>35233.33</v>
      </c>
      <c r="C282" s="66">
        <v>42000</v>
      </c>
      <c r="D282" s="66">
        <v>42000</v>
      </c>
      <c r="E282" s="66">
        <v>42000</v>
      </c>
      <c r="F282" s="172">
        <v>0</v>
      </c>
      <c r="G282" s="66">
        <v>42000</v>
      </c>
      <c r="H282" s="1"/>
      <c r="I282" s="1"/>
      <c r="J282" s="1"/>
      <c r="K282" s="1"/>
      <c r="L282" s="1"/>
    </row>
    <row r="283" spans="1:12" ht="17.25">
      <c r="A283" s="27" t="s">
        <v>28</v>
      </c>
      <c r="B283" s="83">
        <v>181200</v>
      </c>
      <c r="C283" s="83">
        <v>135000</v>
      </c>
      <c r="D283" s="83">
        <v>108000</v>
      </c>
      <c r="E283" s="83">
        <v>108000</v>
      </c>
      <c r="F283" s="167">
        <v>0</v>
      </c>
      <c r="G283" s="83">
        <v>0</v>
      </c>
      <c r="H283" s="1"/>
      <c r="I283" s="1"/>
      <c r="J283" s="1"/>
      <c r="K283" s="1"/>
      <c r="L283" s="1"/>
    </row>
    <row r="284" spans="1:12" ht="17.25">
      <c r="A284" s="22" t="s">
        <v>106</v>
      </c>
      <c r="B284" s="65">
        <v>20133.330000000002</v>
      </c>
      <c r="C284" s="65">
        <v>15000</v>
      </c>
      <c r="D284" s="65">
        <v>12000</v>
      </c>
      <c r="E284" s="65">
        <v>12000</v>
      </c>
      <c r="F284" s="59">
        <v>0</v>
      </c>
      <c r="G284" s="65">
        <v>0</v>
      </c>
      <c r="H284" s="1"/>
      <c r="I284" s="1"/>
      <c r="J284" s="1"/>
      <c r="K284" s="1"/>
      <c r="L284" s="1"/>
    </row>
    <row r="285" spans="1:12" ht="17.25">
      <c r="A285" s="15" t="s">
        <v>107</v>
      </c>
      <c r="B285" s="92">
        <f>SUM(B281:B284)</f>
        <v>958901.33</v>
      </c>
      <c r="C285" s="92">
        <f>SUM(C281:C284)</f>
        <v>1011840</v>
      </c>
      <c r="D285" s="92">
        <f>SUM(D281:D284)</f>
        <v>982200</v>
      </c>
      <c r="E285" s="92">
        <f>SUM(E281:E284)</f>
        <v>1088000</v>
      </c>
      <c r="F285" s="88"/>
      <c r="G285" s="92">
        <f>SUM(G281:G284)</f>
        <v>438000</v>
      </c>
      <c r="H285" s="1"/>
      <c r="I285" s="1"/>
      <c r="J285" s="1"/>
      <c r="K285" s="1"/>
      <c r="L285" s="1"/>
    </row>
    <row r="286" spans="1:12" ht="17.25">
      <c r="A286" s="16" t="s">
        <v>108</v>
      </c>
      <c r="B286" s="97">
        <v>958901.33</v>
      </c>
      <c r="C286" s="97">
        <f>C285</f>
        <v>1011840</v>
      </c>
      <c r="D286" s="97">
        <f>D285</f>
        <v>982200</v>
      </c>
      <c r="E286" s="97">
        <f>E285</f>
        <v>1088000</v>
      </c>
      <c r="F286" s="98"/>
      <c r="G286" s="97">
        <f>G285</f>
        <v>438000</v>
      </c>
    </row>
    <row r="287" spans="1:12" ht="17.25">
      <c r="A287" s="23" t="s">
        <v>33</v>
      </c>
      <c r="B287" s="65"/>
      <c r="C287" s="65"/>
      <c r="D287" s="65"/>
      <c r="E287" s="65"/>
      <c r="F287" s="176"/>
      <c r="G287" s="65"/>
    </row>
    <row r="288" spans="1:12" ht="17.25">
      <c r="A288" s="30" t="s">
        <v>34</v>
      </c>
      <c r="B288" s="66"/>
      <c r="C288" s="66"/>
      <c r="D288" s="66"/>
      <c r="E288" s="66"/>
      <c r="F288" s="166"/>
      <c r="G288" s="66"/>
    </row>
    <row r="289" spans="1:13" ht="17.25">
      <c r="A289" s="30" t="s">
        <v>324</v>
      </c>
      <c r="B289" s="200">
        <v>320082.95</v>
      </c>
      <c r="C289" s="200">
        <v>327935</v>
      </c>
      <c r="D289" s="200">
        <f>103040+115500</f>
        <v>218540</v>
      </c>
      <c r="E289" s="200">
        <v>30050</v>
      </c>
      <c r="F289" s="206">
        <v>-0.50080000000000002</v>
      </c>
      <c r="G289" s="200">
        <v>15000</v>
      </c>
    </row>
    <row r="290" spans="1:13" ht="17.25">
      <c r="A290" s="24" t="s">
        <v>302</v>
      </c>
      <c r="B290" s="202"/>
      <c r="C290" s="202"/>
      <c r="D290" s="202"/>
      <c r="E290" s="202"/>
      <c r="F290" s="202"/>
      <c r="G290" s="202"/>
    </row>
    <row r="291" spans="1:13" s="7" customFormat="1" ht="17.25">
      <c r="A291" s="24" t="s">
        <v>109</v>
      </c>
      <c r="B291" s="65">
        <v>0</v>
      </c>
      <c r="C291" s="65">
        <v>0</v>
      </c>
      <c r="D291" s="65">
        <v>10000</v>
      </c>
      <c r="E291" s="65">
        <v>2000</v>
      </c>
      <c r="F291" s="59">
        <v>-0.8</v>
      </c>
      <c r="G291" s="65">
        <v>1000</v>
      </c>
      <c r="H291" s="1"/>
      <c r="I291" s="1"/>
      <c r="J291" s="1"/>
      <c r="K291" s="1"/>
      <c r="L291" s="1"/>
      <c r="M291" s="1"/>
    </row>
    <row r="292" spans="1:13" s="7" customFormat="1" ht="17.25">
      <c r="A292" s="22" t="s">
        <v>110</v>
      </c>
      <c r="B292" s="65">
        <v>0</v>
      </c>
      <c r="C292" s="65">
        <v>0</v>
      </c>
      <c r="D292" s="65">
        <v>5000</v>
      </c>
      <c r="E292" s="65">
        <v>10000</v>
      </c>
      <c r="F292" s="59">
        <v>1</v>
      </c>
      <c r="G292" s="65">
        <v>0</v>
      </c>
      <c r="H292" s="1"/>
      <c r="I292" s="1"/>
      <c r="J292" s="1"/>
      <c r="K292" s="1"/>
      <c r="L292" s="1"/>
      <c r="M292" s="1"/>
    </row>
    <row r="293" spans="1:13" s="7" customFormat="1" ht="17.25">
      <c r="A293" s="37" t="s">
        <v>40</v>
      </c>
      <c r="B293" s="102">
        <f>SUM(B289:B292)</f>
        <v>320082.95</v>
      </c>
      <c r="C293" s="102">
        <f>SUM(C289:C292)</f>
        <v>327935</v>
      </c>
      <c r="D293" s="102">
        <f>SUM(D289:D292)</f>
        <v>233540</v>
      </c>
      <c r="E293" s="102">
        <f>SUM(E289:E292)</f>
        <v>42050</v>
      </c>
      <c r="F293" s="101"/>
      <c r="G293" s="102">
        <f>SUM(G289:G292)</f>
        <v>16000</v>
      </c>
      <c r="H293" s="1"/>
      <c r="I293" s="1"/>
      <c r="J293" s="1"/>
      <c r="K293" s="1"/>
      <c r="L293" s="1"/>
      <c r="M293" s="1"/>
    </row>
    <row r="294" spans="1:13" s="7" customFormat="1" ht="17.25">
      <c r="A294" s="30" t="s">
        <v>41</v>
      </c>
      <c r="B294" s="19"/>
      <c r="C294" s="19"/>
      <c r="D294" s="19"/>
      <c r="E294" s="19"/>
      <c r="F294" s="19"/>
      <c r="G294" s="19"/>
      <c r="H294" s="1"/>
      <c r="I294" s="1"/>
      <c r="J294" s="1"/>
      <c r="K294" s="1"/>
      <c r="L294" s="1"/>
      <c r="M294" s="1"/>
    </row>
    <row r="295" spans="1:13" s="7" customFormat="1" ht="17.25">
      <c r="A295" s="27" t="s">
        <v>42</v>
      </c>
      <c r="B295" s="66">
        <v>279588</v>
      </c>
      <c r="C295" s="66">
        <v>136603</v>
      </c>
      <c r="D295" s="66">
        <v>10000</v>
      </c>
      <c r="E295" s="66">
        <v>8000</v>
      </c>
      <c r="F295" s="175" t="s">
        <v>470</v>
      </c>
      <c r="G295" s="66">
        <v>3000</v>
      </c>
      <c r="H295" s="1"/>
      <c r="I295" s="1"/>
      <c r="J295" s="1"/>
      <c r="K295" s="1"/>
      <c r="L295" s="1"/>
      <c r="M295" s="1"/>
    </row>
    <row r="296" spans="1:13" s="7" customFormat="1" ht="17.25">
      <c r="A296" s="27" t="s">
        <v>44</v>
      </c>
      <c r="B296" s="200"/>
      <c r="C296" s="200"/>
      <c r="D296" s="200"/>
      <c r="E296" s="200"/>
      <c r="F296" s="200"/>
      <c r="G296" s="200"/>
      <c r="H296" s="1"/>
      <c r="I296" s="1"/>
      <c r="J296" s="1"/>
      <c r="K296" s="1"/>
      <c r="L296" s="1"/>
      <c r="M296" s="1"/>
    </row>
    <row r="297" spans="1:13" s="7" customFormat="1" ht="17.25">
      <c r="A297" s="24" t="s">
        <v>308</v>
      </c>
      <c r="B297" s="202"/>
      <c r="C297" s="202"/>
      <c r="D297" s="202"/>
      <c r="E297" s="202"/>
      <c r="F297" s="202"/>
      <c r="G297" s="202"/>
      <c r="H297" s="1"/>
      <c r="I297" s="1"/>
      <c r="J297" s="1"/>
      <c r="K297" s="1"/>
      <c r="L297" s="1"/>
      <c r="M297" s="1"/>
    </row>
    <row r="298" spans="1:13" s="7" customFormat="1" ht="17.25">
      <c r="A298" s="31" t="s">
        <v>144</v>
      </c>
      <c r="B298" s="65">
        <v>18000</v>
      </c>
      <c r="C298" s="65">
        <v>18000</v>
      </c>
      <c r="D298" s="65">
        <v>0</v>
      </c>
      <c r="E298" s="65">
        <v>0</v>
      </c>
      <c r="F298" s="75"/>
      <c r="G298" s="65">
        <v>0</v>
      </c>
      <c r="H298" s="1"/>
      <c r="I298" s="1"/>
      <c r="J298" s="1"/>
      <c r="K298" s="1"/>
      <c r="L298" s="1"/>
      <c r="M298" s="1"/>
    </row>
    <row r="299" spans="1:13" s="7" customFormat="1" ht="17.25">
      <c r="A299" s="19" t="s">
        <v>46</v>
      </c>
      <c r="B299" s="66">
        <v>9900</v>
      </c>
      <c r="C299" s="66">
        <f>10+3190</f>
        <v>3200</v>
      </c>
      <c r="D299" s="66">
        <v>40000</v>
      </c>
      <c r="E299" s="66">
        <v>25000</v>
      </c>
      <c r="F299" s="172">
        <v>-1</v>
      </c>
      <c r="G299" s="66">
        <v>0</v>
      </c>
      <c r="H299" s="1"/>
      <c r="I299" s="1"/>
      <c r="J299" s="1"/>
      <c r="K299" s="1"/>
      <c r="L299" s="1"/>
      <c r="M299" s="1"/>
    </row>
    <row r="300" spans="1:13" s="7" customFormat="1" ht="17.25">
      <c r="A300" s="22" t="s">
        <v>46</v>
      </c>
      <c r="B300" s="56">
        <v>0</v>
      </c>
      <c r="C300" s="56">
        <v>0</v>
      </c>
      <c r="D300" s="54">
        <v>0</v>
      </c>
      <c r="E300" s="54">
        <v>0</v>
      </c>
      <c r="F300" s="75" t="s">
        <v>320</v>
      </c>
      <c r="G300" s="54">
        <v>20000</v>
      </c>
      <c r="H300" s="1"/>
      <c r="I300" s="1"/>
      <c r="J300" s="1"/>
      <c r="K300" s="1"/>
      <c r="L300" s="1"/>
      <c r="M300" s="1"/>
    </row>
    <row r="301" spans="1:13" s="7" customFormat="1" ht="17.25">
      <c r="A301" s="8" t="s">
        <v>49</v>
      </c>
      <c r="B301" s="83">
        <v>13500</v>
      </c>
      <c r="C301" s="83">
        <v>14990</v>
      </c>
      <c r="D301" s="83">
        <v>10000</v>
      </c>
      <c r="E301" s="83">
        <v>25000</v>
      </c>
      <c r="F301" s="192">
        <v>-0.6</v>
      </c>
      <c r="G301" s="83">
        <v>10000</v>
      </c>
      <c r="H301" s="1"/>
      <c r="I301" s="1"/>
      <c r="J301" s="1"/>
      <c r="K301" s="1"/>
      <c r="L301" s="1"/>
      <c r="M301" s="1"/>
    </row>
    <row r="302" spans="1:13" s="7" customFormat="1" ht="17.25">
      <c r="A302" s="15" t="s">
        <v>50</v>
      </c>
      <c r="B302" s="93">
        <f>SUM(B295:B301)</f>
        <v>320988</v>
      </c>
      <c r="C302" s="93">
        <f>SUM(C295:C301)</f>
        <v>172793</v>
      </c>
      <c r="D302" s="93">
        <f>SUM(D295:D301)</f>
        <v>60000</v>
      </c>
      <c r="E302" s="93">
        <f>SUM(E295:E301)</f>
        <v>58000</v>
      </c>
      <c r="F302" s="73"/>
      <c r="G302" s="93">
        <f>SUM(G295:G301)</f>
        <v>33000</v>
      </c>
      <c r="H302" s="1"/>
      <c r="I302" s="1"/>
      <c r="J302" s="1"/>
      <c r="K302" s="1"/>
      <c r="L302" s="1"/>
      <c r="M302" s="1"/>
    </row>
    <row r="303" spans="1:13" s="7" customFormat="1" ht="17.25">
      <c r="A303" s="21" t="s">
        <v>51</v>
      </c>
      <c r="B303" s="66"/>
      <c r="C303" s="66"/>
      <c r="D303" s="66"/>
      <c r="E303" s="66"/>
      <c r="F303" s="166"/>
      <c r="G303" s="66"/>
      <c r="H303" s="1"/>
      <c r="I303" s="1"/>
      <c r="J303" s="1"/>
      <c r="K303" s="1"/>
      <c r="L303" s="1"/>
      <c r="M303" s="1"/>
    </row>
    <row r="304" spans="1:13" s="7" customFormat="1" ht="17.25">
      <c r="A304" s="24" t="s">
        <v>52</v>
      </c>
      <c r="B304" s="66">
        <v>83913</v>
      </c>
      <c r="C304" s="66">
        <v>0</v>
      </c>
      <c r="D304" s="66">
        <f>40000-10000</f>
        <v>30000</v>
      </c>
      <c r="E304" s="66">
        <v>30000</v>
      </c>
      <c r="F304" s="95">
        <v>-0.16669999999999999</v>
      </c>
      <c r="G304" s="66">
        <v>25000</v>
      </c>
      <c r="H304" s="1"/>
      <c r="I304" s="1"/>
      <c r="J304" s="1"/>
      <c r="K304" s="1"/>
      <c r="L304" s="1"/>
    </row>
    <row r="305" spans="1:12" s="7" customFormat="1" ht="17.25">
      <c r="A305" s="22" t="s">
        <v>58</v>
      </c>
      <c r="B305" s="56">
        <v>0</v>
      </c>
      <c r="C305" s="56">
        <v>2540</v>
      </c>
      <c r="D305" s="56">
        <v>20000</v>
      </c>
      <c r="E305" s="56">
        <v>20000</v>
      </c>
      <c r="F305" s="119">
        <v>-0.25</v>
      </c>
      <c r="G305" s="56">
        <v>15000</v>
      </c>
      <c r="H305" s="1"/>
      <c r="I305" s="1"/>
      <c r="J305" s="1"/>
      <c r="K305" s="1"/>
      <c r="L305" s="1"/>
    </row>
    <row r="306" spans="1:12" s="7" customFormat="1" ht="17.25">
      <c r="A306" s="32" t="s">
        <v>60</v>
      </c>
      <c r="B306" s="100">
        <f>SUM(B304:B305)</f>
        <v>83913</v>
      </c>
      <c r="C306" s="100">
        <f>SUM(C304:C305)</f>
        <v>2540</v>
      </c>
      <c r="D306" s="100">
        <f>SUM(D304:D305)</f>
        <v>50000</v>
      </c>
      <c r="E306" s="100">
        <f>SUM(E304:E305)</f>
        <v>50000</v>
      </c>
      <c r="F306" s="101"/>
      <c r="G306" s="100">
        <f>SUM(G304:G305)</f>
        <v>40000</v>
      </c>
      <c r="H306" s="1"/>
      <c r="I306" s="1"/>
      <c r="J306" s="1"/>
      <c r="K306" s="1"/>
      <c r="L306" s="1"/>
    </row>
    <row r="307" spans="1:12" s="7" customFormat="1" ht="17.25">
      <c r="A307" s="21" t="s">
        <v>61</v>
      </c>
      <c r="B307" s="65"/>
      <c r="C307" s="65"/>
      <c r="D307" s="65"/>
      <c r="E307" s="65"/>
      <c r="F307" s="176"/>
      <c r="G307" s="65"/>
      <c r="H307" s="1"/>
      <c r="I307" s="1"/>
      <c r="J307" s="1"/>
      <c r="K307" s="1"/>
      <c r="L307" s="1"/>
    </row>
    <row r="308" spans="1:12" s="7" customFormat="1" ht="17.25">
      <c r="A308" s="24" t="s">
        <v>65</v>
      </c>
      <c r="B308" s="66">
        <v>0</v>
      </c>
      <c r="C308" s="66">
        <v>1000</v>
      </c>
      <c r="D308" s="66">
        <v>1000</v>
      </c>
      <c r="E308" s="66">
        <v>1000</v>
      </c>
      <c r="F308" s="172">
        <v>0</v>
      </c>
      <c r="G308" s="66">
        <v>1000</v>
      </c>
      <c r="H308" s="1"/>
      <c r="I308" s="1"/>
      <c r="J308" s="1"/>
      <c r="K308" s="1"/>
      <c r="L308" s="1"/>
    </row>
    <row r="309" spans="1:12" s="7" customFormat="1" ht="17.25">
      <c r="A309" s="8" t="s">
        <v>66</v>
      </c>
      <c r="B309" s="65">
        <v>15400</v>
      </c>
      <c r="C309" s="65">
        <v>13980</v>
      </c>
      <c r="D309" s="65">
        <v>0</v>
      </c>
      <c r="E309" s="65">
        <v>0</v>
      </c>
      <c r="F309" s="75"/>
      <c r="G309" s="65">
        <v>0</v>
      </c>
      <c r="H309" s="1"/>
      <c r="I309" s="1"/>
      <c r="J309" s="1"/>
      <c r="K309" s="1"/>
      <c r="L309" s="1"/>
    </row>
    <row r="310" spans="1:12" s="7" customFormat="1" ht="17.25">
      <c r="A310" s="37" t="s">
        <v>67</v>
      </c>
      <c r="B310" s="92">
        <f>SUM(B308:B309)</f>
        <v>15400</v>
      </c>
      <c r="C310" s="92">
        <f>SUM(C308:C309)</f>
        <v>14980</v>
      </c>
      <c r="D310" s="92">
        <f>SUM(D308:D309)</f>
        <v>1000</v>
      </c>
      <c r="E310" s="92">
        <f>SUM(E308:E309)</f>
        <v>1000</v>
      </c>
      <c r="F310" s="88"/>
      <c r="G310" s="92">
        <f>SUM(G308:G309)</f>
        <v>1000</v>
      </c>
      <c r="H310" s="1"/>
      <c r="I310" s="1"/>
      <c r="J310" s="1"/>
      <c r="K310" s="1"/>
      <c r="L310" s="1"/>
    </row>
    <row r="311" spans="1:12" ht="17.25">
      <c r="A311" s="32" t="s">
        <v>68</v>
      </c>
      <c r="B311" s="97">
        <f>B293+B302+B306+B310</f>
        <v>740383.95</v>
      </c>
      <c r="C311" s="97">
        <f>C293+C302+C306+C310</f>
        <v>518248</v>
      </c>
      <c r="D311" s="97">
        <f>D293+D302+D306+D310</f>
        <v>344540</v>
      </c>
      <c r="E311" s="97">
        <f>E293+E302+E306+E310</f>
        <v>151050</v>
      </c>
      <c r="F311" s="98"/>
      <c r="G311" s="97">
        <f>G293+G302+G306+G310</f>
        <v>90000</v>
      </c>
      <c r="H311" s="1"/>
      <c r="I311" s="1"/>
      <c r="J311" s="1"/>
      <c r="K311" s="1"/>
      <c r="L311" s="1"/>
    </row>
    <row r="312" spans="1:12" ht="17.25">
      <c r="A312" s="21" t="s">
        <v>69</v>
      </c>
      <c r="B312" s="65"/>
      <c r="C312" s="65"/>
      <c r="D312" s="65"/>
      <c r="E312" s="65"/>
      <c r="F312" s="176"/>
      <c r="G312" s="65"/>
      <c r="H312" s="1"/>
      <c r="I312" s="1"/>
      <c r="J312" s="1"/>
      <c r="K312" s="1"/>
      <c r="L312" s="1"/>
    </row>
    <row r="313" spans="1:12" ht="17.25">
      <c r="A313" s="29" t="s">
        <v>70</v>
      </c>
      <c r="B313" s="66"/>
      <c r="C313" s="66"/>
      <c r="D313" s="66"/>
      <c r="E313" s="66"/>
      <c r="F313" s="166"/>
      <c r="G313" s="66"/>
      <c r="H313" s="1"/>
      <c r="I313" s="1"/>
      <c r="J313" s="1"/>
      <c r="K313" s="1"/>
      <c r="L313" s="1"/>
    </row>
    <row r="314" spans="1:12" ht="17.25">
      <c r="A314" s="22" t="s">
        <v>116</v>
      </c>
      <c r="B314" s="65"/>
      <c r="C314" s="65"/>
      <c r="D314" s="65"/>
      <c r="E314" s="65"/>
      <c r="F314" s="176"/>
      <c r="G314" s="65"/>
      <c r="H314" s="1"/>
      <c r="I314" s="1"/>
      <c r="J314" s="1"/>
      <c r="K314" s="1"/>
      <c r="L314" s="1"/>
    </row>
    <row r="315" spans="1:12" ht="17.25">
      <c r="A315" s="24" t="s">
        <v>446</v>
      </c>
      <c r="B315" s="67">
        <v>0</v>
      </c>
      <c r="C315" s="67">
        <v>0</v>
      </c>
      <c r="D315" s="67">
        <v>0</v>
      </c>
      <c r="E315" s="67">
        <v>0</v>
      </c>
      <c r="F315" s="171">
        <v>1</v>
      </c>
      <c r="G315" s="67">
        <v>18000</v>
      </c>
      <c r="H315" s="1"/>
      <c r="I315" s="1"/>
      <c r="J315" s="1"/>
      <c r="K315" s="1"/>
      <c r="L315" s="1"/>
    </row>
    <row r="316" spans="1:12" ht="17.25">
      <c r="A316" s="24" t="s">
        <v>472</v>
      </c>
      <c r="B316" s="83">
        <v>0</v>
      </c>
      <c r="C316" s="83">
        <v>0</v>
      </c>
      <c r="D316" s="83">
        <v>0</v>
      </c>
      <c r="E316" s="83">
        <v>4000</v>
      </c>
      <c r="F316" s="167">
        <v>-1</v>
      </c>
      <c r="G316" s="83">
        <v>0</v>
      </c>
      <c r="H316" s="1"/>
      <c r="I316" s="1"/>
      <c r="J316" s="1"/>
      <c r="K316" s="1"/>
      <c r="L316" s="1"/>
    </row>
    <row r="317" spans="1:12" ht="17.25">
      <c r="A317" s="22" t="s">
        <v>473</v>
      </c>
      <c r="B317" s="83">
        <v>0</v>
      </c>
      <c r="C317" s="83">
        <v>0</v>
      </c>
      <c r="D317" s="83">
        <v>0</v>
      </c>
      <c r="E317" s="83">
        <v>4000</v>
      </c>
      <c r="F317" s="167">
        <v>-1</v>
      </c>
      <c r="G317" s="83">
        <v>0</v>
      </c>
      <c r="H317" s="1"/>
      <c r="I317" s="1"/>
      <c r="J317" s="1"/>
      <c r="K317" s="1"/>
      <c r="L317" s="1"/>
    </row>
    <row r="318" spans="1:12" ht="17.25">
      <c r="A318" s="22" t="s">
        <v>441</v>
      </c>
      <c r="B318" s="65">
        <v>0</v>
      </c>
      <c r="C318" s="65">
        <v>0</v>
      </c>
      <c r="D318" s="65">
        <v>0</v>
      </c>
      <c r="E318" s="65">
        <v>3400</v>
      </c>
      <c r="F318" s="59">
        <v>-1</v>
      </c>
      <c r="G318" s="65">
        <v>0</v>
      </c>
      <c r="H318" s="1"/>
      <c r="I318" s="1"/>
      <c r="J318" s="1"/>
      <c r="K318" s="1"/>
      <c r="L318" s="1"/>
    </row>
    <row r="319" spans="1:12" ht="17.25">
      <c r="A319" s="22" t="s">
        <v>172</v>
      </c>
      <c r="B319" s="83">
        <v>0</v>
      </c>
      <c r="C319" s="83">
        <v>0</v>
      </c>
      <c r="D319" s="83">
        <v>0</v>
      </c>
      <c r="E319" s="83">
        <v>8000</v>
      </c>
      <c r="F319" s="167">
        <v>-1</v>
      </c>
      <c r="G319" s="83">
        <v>0</v>
      </c>
      <c r="H319" s="1"/>
      <c r="I319" s="1"/>
      <c r="J319" s="1"/>
      <c r="K319" s="1"/>
      <c r="L319" s="1"/>
    </row>
    <row r="320" spans="1:12" ht="17.25">
      <c r="A320" s="24" t="s">
        <v>119</v>
      </c>
      <c r="B320" s="65"/>
      <c r="C320" s="65"/>
      <c r="D320" s="65"/>
      <c r="E320" s="65"/>
      <c r="F320" s="176"/>
      <c r="G320" s="65"/>
      <c r="H320" s="1"/>
      <c r="I320" s="1"/>
      <c r="J320" s="1"/>
      <c r="K320" s="1"/>
      <c r="L320" s="1"/>
    </row>
    <row r="321" spans="1:13" ht="17.25">
      <c r="A321" s="22" t="s">
        <v>121</v>
      </c>
      <c r="B321" s="65">
        <v>0</v>
      </c>
      <c r="C321" s="65">
        <v>0</v>
      </c>
      <c r="D321" s="65">
        <v>0</v>
      </c>
      <c r="E321" s="65">
        <v>3300</v>
      </c>
      <c r="F321" s="59">
        <v>-1</v>
      </c>
      <c r="G321" s="65">
        <v>0</v>
      </c>
      <c r="H321" s="1"/>
      <c r="I321" s="1"/>
      <c r="J321" s="1"/>
      <c r="K321" s="1"/>
      <c r="L321" s="1"/>
    </row>
    <row r="322" spans="1:13" ht="17.25">
      <c r="A322" s="22" t="s">
        <v>592</v>
      </c>
      <c r="B322" s="67">
        <v>0</v>
      </c>
      <c r="C322" s="67">
        <v>0</v>
      </c>
      <c r="D322" s="67">
        <v>0</v>
      </c>
      <c r="E322" s="67">
        <v>0</v>
      </c>
      <c r="F322" s="171">
        <v>1</v>
      </c>
      <c r="G322" s="67">
        <v>8600</v>
      </c>
      <c r="H322" s="1"/>
      <c r="I322" s="1"/>
      <c r="J322" s="1"/>
      <c r="K322" s="1"/>
      <c r="L322" s="1"/>
    </row>
    <row r="323" spans="1:13" ht="17.25">
      <c r="A323" s="27" t="s">
        <v>127</v>
      </c>
      <c r="B323" s="83">
        <v>27500</v>
      </c>
      <c r="C323" s="83">
        <v>580</v>
      </c>
      <c r="D323" s="83">
        <v>0</v>
      </c>
      <c r="E323" s="83">
        <v>40000</v>
      </c>
      <c r="F323" s="167">
        <v>1</v>
      </c>
      <c r="G323" s="83">
        <v>40000</v>
      </c>
      <c r="H323" s="1"/>
      <c r="I323" s="1"/>
      <c r="J323" s="1"/>
      <c r="K323" s="1"/>
      <c r="L323" s="1"/>
    </row>
    <row r="324" spans="1:13" ht="17.25">
      <c r="A324" s="16" t="s">
        <v>82</v>
      </c>
      <c r="B324" s="93">
        <v>27500</v>
      </c>
      <c r="C324" s="93">
        <v>580</v>
      </c>
      <c r="D324" s="93">
        <f>D323</f>
        <v>0</v>
      </c>
      <c r="E324" s="93">
        <f>E316+E317+E318+E319+E321+E323</f>
        <v>62700</v>
      </c>
      <c r="F324" s="73"/>
      <c r="G324" s="93">
        <f>G315+G322+G323</f>
        <v>66600</v>
      </c>
      <c r="H324" s="1"/>
      <c r="I324" s="1"/>
      <c r="J324" s="1"/>
      <c r="K324" s="1"/>
      <c r="L324" s="1"/>
    </row>
    <row r="325" spans="1:13" ht="17.25">
      <c r="A325" s="15" t="s">
        <v>88</v>
      </c>
      <c r="B325" s="92">
        <v>27500</v>
      </c>
      <c r="C325" s="92">
        <v>580</v>
      </c>
      <c r="D325" s="92">
        <f>D324</f>
        <v>0</v>
      </c>
      <c r="E325" s="92">
        <f>E324</f>
        <v>62700</v>
      </c>
      <c r="F325" s="88"/>
      <c r="G325" s="92">
        <f>G324</f>
        <v>66600</v>
      </c>
      <c r="H325" s="1"/>
      <c r="I325" s="1"/>
      <c r="J325" s="1"/>
      <c r="K325" s="1"/>
      <c r="L325" s="1"/>
    </row>
    <row r="326" spans="1:13" ht="17.25">
      <c r="A326" s="16" t="s">
        <v>145</v>
      </c>
      <c r="B326" s="97">
        <f>B286+B311+B325</f>
        <v>1726785.2799999998</v>
      </c>
      <c r="C326" s="97">
        <f>C286+C311+C325</f>
        <v>1530668</v>
      </c>
      <c r="D326" s="97">
        <f>D286+D311+D325</f>
        <v>1326740</v>
      </c>
      <c r="E326" s="97">
        <f>E286+E311+E325</f>
        <v>1301750</v>
      </c>
      <c r="F326" s="98"/>
      <c r="G326" s="97">
        <f>G286+G311+G325</f>
        <v>594600</v>
      </c>
    </row>
    <row r="327" spans="1:13" ht="17.25">
      <c r="A327" s="23" t="s">
        <v>146</v>
      </c>
      <c r="B327" s="65"/>
      <c r="C327" s="65"/>
      <c r="D327" s="65"/>
      <c r="E327" s="65"/>
      <c r="F327" s="176"/>
      <c r="G327" s="65"/>
    </row>
    <row r="328" spans="1:13" ht="17.25">
      <c r="A328" s="21" t="s">
        <v>105</v>
      </c>
      <c r="B328" s="66"/>
      <c r="C328" s="66"/>
      <c r="D328" s="66"/>
      <c r="E328" s="66"/>
      <c r="F328" s="166"/>
      <c r="G328" s="66"/>
    </row>
    <row r="329" spans="1:13" ht="17.25">
      <c r="A329" s="21" t="s">
        <v>24</v>
      </c>
      <c r="B329" s="65"/>
      <c r="C329" s="65"/>
      <c r="D329" s="65"/>
      <c r="E329" s="65"/>
      <c r="F329" s="176"/>
      <c r="G329" s="65"/>
    </row>
    <row r="330" spans="1:13" ht="17.25">
      <c r="A330" s="22" t="s">
        <v>25</v>
      </c>
      <c r="B330" s="66">
        <v>0</v>
      </c>
      <c r="C330" s="66">
        <v>0</v>
      </c>
      <c r="D330" s="66">
        <f>1315680-20000</f>
        <v>1295680</v>
      </c>
      <c r="E330" s="66">
        <v>1391000</v>
      </c>
      <c r="F330" s="105" t="s">
        <v>474</v>
      </c>
      <c r="G330" s="66">
        <v>1781400</v>
      </c>
    </row>
    <row r="331" spans="1:13" s="7" customFormat="1" ht="17.25">
      <c r="A331" s="27" t="s">
        <v>28</v>
      </c>
      <c r="B331" s="83">
        <v>0</v>
      </c>
      <c r="C331" s="83">
        <v>0</v>
      </c>
      <c r="D331" s="83">
        <f>495600-7000</f>
        <v>488600</v>
      </c>
      <c r="E331" s="83">
        <v>508200</v>
      </c>
      <c r="F331" s="174" t="s">
        <v>475</v>
      </c>
      <c r="G331" s="83">
        <v>545000</v>
      </c>
      <c r="H331" s="1"/>
      <c r="I331" s="1"/>
      <c r="J331" s="1"/>
      <c r="K331" s="1"/>
      <c r="L331" s="1"/>
      <c r="M331" s="1"/>
    </row>
    <row r="332" spans="1:13" s="7" customFormat="1" ht="17.25">
      <c r="A332" s="22" t="s">
        <v>106</v>
      </c>
      <c r="B332" s="65">
        <v>0</v>
      </c>
      <c r="C332" s="65">
        <v>0</v>
      </c>
      <c r="D332" s="65">
        <v>72000</v>
      </c>
      <c r="E332" s="65">
        <v>72000</v>
      </c>
      <c r="F332" s="59">
        <v>0</v>
      </c>
      <c r="G332" s="65">
        <v>84000</v>
      </c>
      <c r="H332" s="1"/>
      <c r="I332" s="1"/>
      <c r="J332" s="1"/>
      <c r="K332" s="1"/>
      <c r="L332" s="1"/>
      <c r="M332" s="1"/>
    </row>
    <row r="333" spans="1:13" s="7" customFormat="1" ht="17.25">
      <c r="A333" s="15" t="s">
        <v>107</v>
      </c>
      <c r="B333" s="92">
        <v>0</v>
      </c>
      <c r="C333" s="92">
        <v>0</v>
      </c>
      <c r="D333" s="92">
        <f>SUM(D330:D332)</f>
        <v>1856280</v>
      </c>
      <c r="E333" s="92">
        <f>SUM(E330:E332)</f>
        <v>1971200</v>
      </c>
      <c r="F333" s="88"/>
      <c r="G333" s="92">
        <f>SUM(G330:G332)</f>
        <v>2410400</v>
      </c>
      <c r="H333" s="1"/>
      <c r="I333" s="1"/>
      <c r="J333" s="1"/>
      <c r="K333" s="1"/>
      <c r="L333" s="1"/>
      <c r="M333" s="1"/>
    </row>
    <row r="334" spans="1:13" s="7" customFormat="1" ht="17.25">
      <c r="A334" s="32" t="s">
        <v>108</v>
      </c>
      <c r="B334" s="93">
        <v>0</v>
      </c>
      <c r="C334" s="93">
        <v>0</v>
      </c>
      <c r="D334" s="93">
        <f>D333</f>
        <v>1856280</v>
      </c>
      <c r="E334" s="93">
        <f>E333</f>
        <v>1971200</v>
      </c>
      <c r="F334" s="73"/>
      <c r="G334" s="93">
        <f>G333</f>
        <v>2410400</v>
      </c>
      <c r="H334" s="1"/>
      <c r="I334" s="1"/>
      <c r="J334" s="1"/>
      <c r="K334" s="1"/>
      <c r="L334" s="1"/>
      <c r="M334" s="1"/>
    </row>
    <row r="335" spans="1:13" s="7" customFormat="1" ht="17.25">
      <c r="A335" s="21" t="s">
        <v>33</v>
      </c>
      <c r="B335" s="66"/>
      <c r="C335" s="66"/>
      <c r="D335" s="66"/>
      <c r="E335" s="66"/>
      <c r="F335" s="166"/>
      <c r="G335" s="66"/>
      <c r="H335" s="1"/>
      <c r="I335" s="1"/>
      <c r="J335" s="1"/>
      <c r="K335" s="1"/>
      <c r="L335" s="1"/>
      <c r="M335" s="1"/>
    </row>
    <row r="336" spans="1:13" s="7" customFormat="1" ht="17.25">
      <c r="A336" s="30" t="s">
        <v>34</v>
      </c>
      <c r="B336" s="66"/>
      <c r="C336" s="66"/>
      <c r="D336" s="66"/>
      <c r="E336" s="66"/>
      <c r="F336" s="166"/>
      <c r="G336" s="66"/>
      <c r="H336" s="1"/>
      <c r="I336" s="1"/>
      <c r="J336" s="1"/>
      <c r="K336" s="1"/>
      <c r="L336" s="1"/>
      <c r="M336" s="1"/>
    </row>
    <row r="337" spans="1:13" s="7" customFormat="1" ht="17.25">
      <c r="A337" s="30" t="s">
        <v>324</v>
      </c>
      <c r="B337" s="200">
        <v>0</v>
      </c>
      <c r="C337" s="200">
        <v>0</v>
      </c>
      <c r="D337" s="200"/>
      <c r="E337" s="200">
        <v>50000</v>
      </c>
      <c r="F337" s="203">
        <v>0.2</v>
      </c>
      <c r="G337" s="200">
        <v>60000</v>
      </c>
      <c r="H337" s="1"/>
      <c r="I337" s="1"/>
      <c r="J337" s="1"/>
      <c r="K337" s="1"/>
      <c r="L337" s="1"/>
      <c r="M337" s="1"/>
    </row>
    <row r="338" spans="1:13" s="7" customFormat="1" ht="17.25">
      <c r="A338" s="24" t="s">
        <v>302</v>
      </c>
      <c r="B338" s="202"/>
      <c r="C338" s="202"/>
      <c r="D338" s="202"/>
      <c r="E338" s="202"/>
      <c r="F338" s="205"/>
      <c r="G338" s="202"/>
      <c r="H338" s="1"/>
      <c r="I338" s="1"/>
      <c r="J338" s="1"/>
      <c r="K338" s="1"/>
      <c r="L338" s="1"/>
      <c r="M338" s="1"/>
    </row>
    <row r="339" spans="1:13" s="7" customFormat="1" ht="17.25">
      <c r="A339" s="24" t="s">
        <v>110</v>
      </c>
      <c r="B339" s="166">
        <v>0</v>
      </c>
      <c r="C339" s="166">
        <v>0</v>
      </c>
      <c r="D339" s="166">
        <v>0</v>
      </c>
      <c r="E339" s="166">
        <v>0</v>
      </c>
      <c r="F339" s="172">
        <v>1</v>
      </c>
      <c r="G339" s="166">
        <v>10000</v>
      </c>
      <c r="H339" s="1"/>
      <c r="I339" s="1"/>
      <c r="J339" s="1"/>
      <c r="K339" s="1"/>
      <c r="L339" s="1"/>
      <c r="M339" s="1"/>
    </row>
    <row r="340" spans="1:13" s="7" customFormat="1" ht="17.25">
      <c r="A340" s="16" t="s">
        <v>40</v>
      </c>
      <c r="B340" s="92">
        <v>0</v>
      </c>
      <c r="C340" s="92">
        <v>0</v>
      </c>
      <c r="D340" s="92">
        <v>0</v>
      </c>
      <c r="E340" s="92">
        <f>E337</f>
        <v>50000</v>
      </c>
      <c r="F340" s="88"/>
      <c r="G340" s="92">
        <f>G338+G339+G337</f>
        <v>70000</v>
      </c>
      <c r="H340" s="1"/>
      <c r="I340" s="1"/>
      <c r="J340" s="1"/>
      <c r="K340" s="1"/>
      <c r="L340" s="1"/>
      <c r="M340" s="1"/>
    </row>
    <row r="341" spans="1:13" s="7" customFormat="1" ht="17.25">
      <c r="A341" s="23" t="s">
        <v>41</v>
      </c>
      <c r="B341" s="65"/>
      <c r="C341" s="65"/>
      <c r="D341" s="65"/>
      <c r="E341" s="65"/>
      <c r="F341" s="176"/>
      <c r="G341" s="65"/>
      <c r="H341" s="1"/>
      <c r="I341" s="1"/>
      <c r="J341" s="1"/>
      <c r="K341" s="1"/>
      <c r="L341" s="1"/>
      <c r="M341" s="1"/>
    </row>
    <row r="342" spans="1:13" s="7" customFormat="1" ht="17.25">
      <c r="A342" s="104" t="s">
        <v>42</v>
      </c>
      <c r="B342" s="65">
        <v>0</v>
      </c>
      <c r="C342" s="65">
        <v>0</v>
      </c>
      <c r="D342" s="65">
        <v>270000</v>
      </c>
      <c r="E342" s="65">
        <v>440000</v>
      </c>
      <c r="F342" s="119">
        <v>1</v>
      </c>
      <c r="G342" s="65">
        <v>310000</v>
      </c>
      <c r="H342" s="1"/>
      <c r="I342" s="1"/>
      <c r="J342" s="1"/>
      <c r="K342" s="1"/>
      <c r="L342" s="1"/>
      <c r="M342" s="1"/>
    </row>
    <row r="343" spans="1:13" s="7" customFormat="1" ht="17.25">
      <c r="A343" s="17" t="s">
        <v>44</v>
      </c>
      <c r="B343" s="200"/>
      <c r="C343" s="200"/>
      <c r="D343" s="200"/>
      <c r="E343" s="200"/>
      <c r="F343" s="200"/>
      <c r="G343" s="200"/>
      <c r="H343" s="1"/>
      <c r="I343" s="1"/>
      <c r="J343" s="1"/>
      <c r="K343" s="1"/>
      <c r="L343" s="1"/>
      <c r="M343" s="1"/>
    </row>
    <row r="344" spans="1:13" s="7" customFormat="1" ht="17.25">
      <c r="A344" s="18" t="s">
        <v>308</v>
      </c>
      <c r="B344" s="202"/>
      <c r="C344" s="202"/>
      <c r="D344" s="202"/>
      <c r="E344" s="202"/>
      <c r="F344" s="202"/>
      <c r="G344" s="202"/>
      <c r="H344" s="1"/>
      <c r="I344" s="1"/>
      <c r="J344" s="1"/>
      <c r="K344" s="1"/>
      <c r="L344" s="1"/>
      <c r="M344" s="1"/>
    </row>
    <row r="345" spans="1:13" s="7" customFormat="1" ht="17.25">
      <c r="A345" s="24" t="s">
        <v>147</v>
      </c>
      <c r="B345" s="56">
        <v>50000</v>
      </c>
      <c r="C345" s="56">
        <f>42173+86</f>
        <v>42259</v>
      </c>
      <c r="D345" s="54">
        <v>0</v>
      </c>
      <c r="E345" s="54">
        <v>0</v>
      </c>
      <c r="F345" s="119">
        <v>0</v>
      </c>
      <c r="G345" s="54">
        <v>0</v>
      </c>
      <c r="H345" s="1"/>
      <c r="I345" s="1"/>
      <c r="J345" s="1"/>
      <c r="K345" s="1"/>
      <c r="L345" s="1"/>
      <c r="M345" s="1"/>
    </row>
    <row r="346" spans="1:13" s="7" customFormat="1" ht="17.25">
      <c r="A346" s="8" t="s">
        <v>148</v>
      </c>
      <c r="B346" s="83">
        <v>100000</v>
      </c>
      <c r="C346" s="83">
        <v>0</v>
      </c>
      <c r="D346" s="83">
        <v>0</v>
      </c>
      <c r="E346" s="83">
        <v>50000</v>
      </c>
      <c r="F346" s="168" t="s">
        <v>320</v>
      </c>
      <c r="G346" s="83">
        <v>30000</v>
      </c>
      <c r="H346" s="1"/>
      <c r="I346" s="1"/>
      <c r="J346" s="1"/>
      <c r="K346" s="1"/>
      <c r="L346" s="1"/>
      <c r="M346" s="1"/>
    </row>
    <row r="347" spans="1:13" s="7" customFormat="1" ht="17.25">
      <c r="A347" s="24" t="s">
        <v>149</v>
      </c>
      <c r="B347" s="65">
        <v>520200</v>
      </c>
      <c r="C347" s="65">
        <v>639200</v>
      </c>
      <c r="D347" s="65">
        <v>0</v>
      </c>
      <c r="E347" s="65">
        <v>723000</v>
      </c>
      <c r="F347" s="75" t="s">
        <v>320</v>
      </c>
      <c r="G347" s="65">
        <v>1023000</v>
      </c>
      <c r="H347" s="1"/>
      <c r="I347" s="1"/>
      <c r="J347" s="1"/>
      <c r="K347" s="1"/>
      <c r="L347" s="1"/>
      <c r="M347" s="1"/>
    </row>
    <row r="348" spans="1:13" s="7" customFormat="1" ht="17.25">
      <c r="A348" s="22" t="s">
        <v>46</v>
      </c>
      <c r="B348" s="66">
        <v>20000</v>
      </c>
      <c r="C348" s="66">
        <v>0</v>
      </c>
      <c r="D348" s="66">
        <v>30000</v>
      </c>
      <c r="E348" s="66">
        <v>35000</v>
      </c>
      <c r="F348" s="105">
        <v>1</v>
      </c>
      <c r="G348" s="66">
        <v>25000</v>
      </c>
      <c r="H348" s="1"/>
      <c r="I348" s="1"/>
      <c r="J348" s="1"/>
      <c r="K348" s="1"/>
      <c r="L348" s="1"/>
      <c r="M348" s="1"/>
    </row>
    <row r="349" spans="1:13" s="7" customFormat="1" ht="17.25">
      <c r="A349" s="24" t="s">
        <v>147</v>
      </c>
      <c r="B349" s="66">
        <v>0</v>
      </c>
      <c r="C349" s="66">
        <v>0</v>
      </c>
      <c r="D349" s="66">
        <v>50000</v>
      </c>
      <c r="E349" s="66">
        <v>0</v>
      </c>
      <c r="F349" s="172">
        <v>0</v>
      </c>
      <c r="G349" s="66">
        <v>0</v>
      </c>
      <c r="H349" s="1"/>
      <c r="I349" s="1"/>
      <c r="J349" s="1"/>
      <c r="K349" s="1"/>
      <c r="L349" s="1"/>
    </row>
    <row r="350" spans="1:13" s="7" customFormat="1" ht="17.25">
      <c r="A350" s="22" t="s">
        <v>148</v>
      </c>
      <c r="B350" s="56">
        <v>0</v>
      </c>
      <c r="C350" s="56">
        <v>0</v>
      </c>
      <c r="D350" s="56">
        <v>70000</v>
      </c>
      <c r="E350" s="56">
        <v>0</v>
      </c>
      <c r="F350" s="59">
        <v>0</v>
      </c>
      <c r="G350" s="56">
        <v>0</v>
      </c>
      <c r="H350" s="1"/>
      <c r="I350" s="1"/>
      <c r="J350" s="1"/>
      <c r="K350" s="1"/>
      <c r="L350" s="1"/>
    </row>
    <row r="351" spans="1:13" s="7" customFormat="1" ht="17.25">
      <c r="A351" s="22" t="s">
        <v>149</v>
      </c>
      <c r="B351" s="57">
        <v>0</v>
      </c>
      <c r="C351" s="57">
        <v>0</v>
      </c>
      <c r="D351" s="57">
        <f>855000-400658.38</f>
        <v>454341.62</v>
      </c>
      <c r="E351" s="57">
        <v>0</v>
      </c>
      <c r="F351" s="171">
        <v>0</v>
      </c>
      <c r="G351" s="57">
        <v>0</v>
      </c>
      <c r="H351" s="1"/>
      <c r="I351" s="1"/>
      <c r="J351" s="1"/>
      <c r="K351" s="1"/>
      <c r="L351" s="1"/>
    </row>
    <row r="352" spans="1:13" s="7" customFormat="1" ht="17.25">
      <c r="A352" s="22" t="s">
        <v>49</v>
      </c>
      <c r="B352" s="65">
        <v>0</v>
      </c>
      <c r="C352" s="65">
        <v>0</v>
      </c>
      <c r="D352" s="65">
        <v>10000</v>
      </c>
      <c r="E352" s="65">
        <v>30000</v>
      </c>
      <c r="F352" s="59">
        <v>-0.5</v>
      </c>
      <c r="G352" s="65">
        <v>15000</v>
      </c>
      <c r="H352" s="1"/>
      <c r="I352" s="1"/>
      <c r="J352" s="1"/>
      <c r="K352" s="1"/>
      <c r="L352" s="1"/>
    </row>
    <row r="353" spans="1:13" s="7" customFormat="1" ht="17.25">
      <c r="A353" s="15" t="s">
        <v>50</v>
      </c>
      <c r="B353" s="92">
        <f>SUM(B345:B352)</f>
        <v>690200</v>
      </c>
      <c r="C353" s="92">
        <f>SUM(C345:C352)</f>
        <v>681459</v>
      </c>
      <c r="D353" s="92">
        <f>SUM(D342:D352)</f>
        <v>884341.62</v>
      </c>
      <c r="E353" s="92">
        <f>SUM(E342:E352)</f>
        <v>1278000</v>
      </c>
      <c r="F353" s="88"/>
      <c r="G353" s="92">
        <f>SUM(G342:G352)</f>
        <v>1403000</v>
      </c>
      <c r="H353" s="1"/>
      <c r="I353" s="1"/>
      <c r="J353" s="1"/>
      <c r="K353" s="1"/>
      <c r="L353" s="1"/>
    </row>
    <row r="354" spans="1:13" s="7" customFormat="1" ht="17.25">
      <c r="A354" s="11" t="s">
        <v>51</v>
      </c>
      <c r="B354" s="65"/>
      <c r="C354" s="65"/>
      <c r="D354" s="65"/>
      <c r="E354" s="65"/>
      <c r="F354" s="176"/>
      <c r="G354" s="65"/>
      <c r="H354" s="1"/>
      <c r="I354" s="1"/>
      <c r="J354" s="1"/>
      <c r="K354" s="1"/>
      <c r="L354" s="1"/>
    </row>
    <row r="355" spans="1:13" s="7" customFormat="1" ht="17.25">
      <c r="A355" s="26" t="s">
        <v>52</v>
      </c>
      <c r="B355" s="67">
        <v>73000</v>
      </c>
      <c r="C355" s="67">
        <f>23200+43500</f>
        <v>66700</v>
      </c>
      <c r="D355" s="67">
        <v>0</v>
      </c>
      <c r="E355" s="67">
        <v>0</v>
      </c>
      <c r="F355" s="169"/>
      <c r="G355" s="67">
        <v>0</v>
      </c>
      <c r="H355" s="1"/>
      <c r="I355" s="1"/>
      <c r="J355" s="1"/>
      <c r="K355" s="1"/>
      <c r="L355" s="1"/>
    </row>
    <row r="356" spans="1:13" ht="17.25">
      <c r="A356" s="27" t="s">
        <v>53</v>
      </c>
      <c r="B356" s="83">
        <v>0</v>
      </c>
      <c r="C356" s="83">
        <v>0</v>
      </c>
      <c r="D356" s="83">
        <v>5000</v>
      </c>
      <c r="E356" s="83">
        <v>5000</v>
      </c>
      <c r="F356" s="167">
        <v>-0.6</v>
      </c>
      <c r="G356" s="83">
        <v>2000</v>
      </c>
      <c r="H356" s="1"/>
      <c r="I356" s="1"/>
      <c r="J356" s="1"/>
      <c r="K356" s="1"/>
      <c r="L356" s="1"/>
    </row>
    <row r="357" spans="1:13" ht="17.25">
      <c r="A357" s="22" t="s">
        <v>54</v>
      </c>
      <c r="B357" s="65">
        <v>10000</v>
      </c>
      <c r="C357" s="65">
        <v>50000</v>
      </c>
      <c r="D357" s="65">
        <f>30000-15000</f>
        <v>15000</v>
      </c>
      <c r="E357" s="65">
        <v>15000</v>
      </c>
      <c r="F357" s="127">
        <v>-0.33329999999999999</v>
      </c>
      <c r="G357" s="65">
        <v>10000</v>
      </c>
      <c r="H357" s="1"/>
      <c r="I357" s="1"/>
      <c r="J357" s="1"/>
      <c r="K357" s="1"/>
      <c r="L357" s="1"/>
    </row>
    <row r="358" spans="1:13" ht="17.25">
      <c r="A358" s="26" t="s">
        <v>150</v>
      </c>
      <c r="B358" s="66">
        <v>1437515.95</v>
      </c>
      <c r="C358" s="66">
        <v>1298833.6000000001</v>
      </c>
      <c r="D358" s="66">
        <f>1490000-241666.54</f>
        <v>1248333.46</v>
      </c>
      <c r="E358" s="66">
        <v>1455000</v>
      </c>
      <c r="F358" s="95">
        <v>-2.06E-2</v>
      </c>
      <c r="G358" s="66">
        <v>1425000</v>
      </c>
      <c r="H358" s="1"/>
      <c r="I358" s="1"/>
      <c r="J358" s="1"/>
      <c r="K358" s="1"/>
      <c r="L358" s="1"/>
    </row>
    <row r="359" spans="1:13" ht="17.25">
      <c r="A359" s="27" t="s">
        <v>151</v>
      </c>
      <c r="B359" s="83">
        <v>0</v>
      </c>
      <c r="C359" s="83">
        <v>0</v>
      </c>
      <c r="D359" s="83">
        <v>5000</v>
      </c>
      <c r="E359" s="83">
        <v>10000</v>
      </c>
      <c r="F359" s="167">
        <v>1</v>
      </c>
      <c r="G359" s="83">
        <v>0</v>
      </c>
      <c r="H359" s="1"/>
      <c r="I359" s="1"/>
      <c r="J359" s="1"/>
      <c r="K359" s="1"/>
      <c r="L359" s="1"/>
    </row>
    <row r="360" spans="1:13" ht="17.25">
      <c r="A360" s="16" t="s">
        <v>60</v>
      </c>
      <c r="B360" s="93">
        <f>B358+B355+B357</f>
        <v>1520515.95</v>
      </c>
      <c r="C360" s="93">
        <f>C355+C358+C359+C357+C356</f>
        <v>1415533.6</v>
      </c>
      <c r="D360" s="93">
        <f>D358+D359+D357+D356</f>
        <v>1273333.46</v>
      </c>
      <c r="E360" s="93">
        <f>E358+E356+E357+E359</f>
        <v>1485000</v>
      </c>
      <c r="F360" s="73"/>
      <c r="G360" s="93">
        <f>G358+G356+G357+G359</f>
        <v>1437000</v>
      </c>
      <c r="H360" s="1"/>
      <c r="I360" s="1"/>
      <c r="J360" s="1"/>
      <c r="K360" s="1"/>
      <c r="L360" s="1"/>
    </row>
    <row r="361" spans="1:13" ht="17.25">
      <c r="A361" s="23" t="s">
        <v>61</v>
      </c>
      <c r="B361" s="66"/>
      <c r="C361" s="66"/>
      <c r="D361" s="66"/>
      <c r="E361" s="66"/>
      <c r="F361" s="166"/>
      <c r="G361" s="66"/>
      <c r="H361" s="1"/>
      <c r="I361" s="1"/>
      <c r="J361" s="1"/>
      <c r="K361" s="1"/>
      <c r="L361" s="1"/>
    </row>
    <row r="362" spans="1:13" ht="17.25">
      <c r="A362" s="22" t="s">
        <v>62</v>
      </c>
      <c r="B362" s="83">
        <v>18000</v>
      </c>
      <c r="C362" s="83">
        <f>2931.8+9276.41</f>
        <v>12208.21</v>
      </c>
      <c r="D362" s="83">
        <f>30000-5999.8</f>
        <v>24000.2</v>
      </c>
      <c r="E362" s="83">
        <v>27000</v>
      </c>
      <c r="F362" s="99">
        <v>0.48149999999999998</v>
      </c>
      <c r="G362" s="83">
        <v>40000</v>
      </c>
    </row>
    <row r="363" spans="1:13" ht="17.25">
      <c r="A363" s="24" t="s">
        <v>63</v>
      </c>
      <c r="B363" s="65">
        <v>18500</v>
      </c>
      <c r="C363" s="65">
        <v>21710.27</v>
      </c>
      <c r="D363" s="65">
        <f>30000-10000</f>
        <v>20000</v>
      </c>
      <c r="E363" s="65">
        <v>35000</v>
      </c>
      <c r="F363" s="127">
        <v>-0.42859999999999998</v>
      </c>
      <c r="G363" s="65">
        <v>20000</v>
      </c>
    </row>
    <row r="364" spans="1:13" ht="17.25">
      <c r="A364" s="22" t="s">
        <v>64</v>
      </c>
      <c r="B364" s="66">
        <v>259.31</v>
      </c>
      <c r="C364" s="66">
        <v>3271.9</v>
      </c>
      <c r="D364" s="66">
        <v>8000</v>
      </c>
      <c r="E364" s="66">
        <v>8000</v>
      </c>
      <c r="F364" s="95">
        <v>-0.625</v>
      </c>
      <c r="G364" s="66">
        <v>3000</v>
      </c>
    </row>
    <row r="365" spans="1:13" ht="17.25">
      <c r="A365" s="19" t="s">
        <v>66</v>
      </c>
      <c r="B365" s="65">
        <v>0</v>
      </c>
      <c r="C365" s="65">
        <v>0</v>
      </c>
      <c r="D365" s="65">
        <v>19000</v>
      </c>
      <c r="E365" s="65">
        <v>18000</v>
      </c>
      <c r="F365" s="59">
        <v>0</v>
      </c>
      <c r="G365" s="65">
        <v>18000</v>
      </c>
    </row>
    <row r="366" spans="1:13" ht="17.25">
      <c r="A366" s="16" t="s">
        <v>67</v>
      </c>
      <c r="B366" s="92">
        <f>SUM(B362:B365)</f>
        <v>36759.31</v>
      </c>
      <c r="C366" s="92">
        <f>SUM(C362:C365)</f>
        <v>37190.379999999997</v>
      </c>
      <c r="D366" s="92">
        <f>SUM(D362:D365)</f>
        <v>71000.2</v>
      </c>
      <c r="E366" s="92">
        <f>SUM(E362:E365)</f>
        <v>88000</v>
      </c>
      <c r="F366" s="88"/>
      <c r="G366" s="92">
        <f>SUM(G362:G365)</f>
        <v>81000</v>
      </c>
    </row>
    <row r="367" spans="1:13" s="7" customFormat="1" ht="17.25">
      <c r="A367" s="32" t="s">
        <v>68</v>
      </c>
      <c r="B367" s="97">
        <f>B353+B360+B366</f>
        <v>2247475.2600000002</v>
      </c>
      <c r="C367" s="97">
        <f>C353+C360+C366</f>
        <v>2134182.98</v>
      </c>
      <c r="D367" s="97">
        <f>D353+D360+D366</f>
        <v>2228675.2800000003</v>
      </c>
      <c r="E367" s="97">
        <f>E353+E360+E366+E340</f>
        <v>2901000</v>
      </c>
      <c r="F367" s="97"/>
      <c r="G367" s="97">
        <f>G353+G360+G366+G340</f>
        <v>2991000</v>
      </c>
      <c r="H367" s="1"/>
      <c r="I367" s="1"/>
      <c r="J367" s="1"/>
      <c r="K367" s="1"/>
      <c r="L367" s="1"/>
      <c r="M367" s="1"/>
    </row>
    <row r="368" spans="1:13" s="7" customFormat="1" ht="17.25">
      <c r="A368" s="23" t="s">
        <v>69</v>
      </c>
      <c r="B368" s="66"/>
      <c r="C368" s="66"/>
      <c r="D368" s="66"/>
      <c r="E368" s="66"/>
      <c r="F368" s="66"/>
      <c r="G368" s="66"/>
      <c r="H368" s="1"/>
      <c r="I368" s="1"/>
      <c r="J368" s="1"/>
      <c r="K368" s="1"/>
      <c r="L368" s="1"/>
      <c r="M368" s="1"/>
    </row>
    <row r="369" spans="1:13" s="7" customFormat="1" ht="17.25">
      <c r="A369" s="23" t="s">
        <v>70</v>
      </c>
      <c r="B369" s="66"/>
      <c r="C369" s="66"/>
      <c r="D369" s="66"/>
      <c r="E369" s="66"/>
      <c r="F369" s="66"/>
      <c r="G369" s="66"/>
      <c r="H369" s="1"/>
      <c r="I369" s="1"/>
      <c r="J369" s="1"/>
      <c r="K369" s="1"/>
      <c r="L369" s="1"/>
      <c r="M369" s="1"/>
    </row>
    <row r="370" spans="1:13" s="7" customFormat="1" ht="17.25">
      <c r="A370" s="24" t="s">
        <v>116</v>
      </c>
      <c r="B370" s="66"/>
      <c r="C370" s="66"/>
      <c r="D370" s="66"/>
      <c r="E370" s="66"/>
      <c r="F370" s="66"/>
      <c r="G370" s="66"/>
      <c r="H370" s="1"/>
      <c r="I370" s="1"/>
      <c r="J370" s="1"/>
      <c r="K370" s="1"/>
      <c r="L370" s="1"/>
      <c r="M370" s="1"/>
    </row>
    <row r="371" spans="1:13" s="7" customFormat="1" ht="17.25">
      <c r="A371" s="22" t="s">
        <v>117</v>
      </c>
      <c r="B371" s="66">
        <v>0</v>
      </c>
      <c r="C371" s="66">
        <v>0</v>
      </c>
      <c r="D371" s="66">
        <v>0</v>
      </c>
      <c r="E371" s="66">
        <v>0</v>
      </c>
      <c r="F371" s="172">
        <v>1</v>
      </c>
      <c r="G371" s="66">
        <v>7200</v>
      </c>
      <c r="H371" s="1"/>
      <c r="I371" s="1"/>
      <c r="J371" s="1"/>
      <c r="K371" s="1"/>
      <c r="L371" s="1"/>
      <c r="M371" s="1"/>
    </row>
    <row r="372" spans="1:13" s="7" customFormat="1" ht="17.25">
      <c r="A372" s="22" t="s">
        <v>173</v>
      </c>
      <c r="B372" s="66">
        <v>0</v>
      </c>
      <c r="C372" s="66">
        <v>0</v>
      </c>
      <c r="D372" s="66">
        <v>0</v>
      </c>
      <c r="E372" s="66">
        <v>0</v>
      </c>
      <c r="F372" s="172">
        <v>1</v>
      </c>
      <c r="G372" s="66">
        <v>423000</v>
      </c>
      <c r="H372" s="1"/>
      <c r="I372" s="1"/>
      <c r="J372" s="1"/>
      <c r="K372" s="1"/>
      <c r="L372" s="1"/>
      <c r="M372" s="1"/>
    </row>
    <row r="373" spans="1:13" s="7" customFormat="1" ht="17.25">
      <c r="A373" s="22" t="s">
        <v>603</v>
      </c>
      <c r="B373" s="66">
        <v>0</v>
      </c>
      <c r="C373" s="66">
        <v>0</v>
      </c>
      <c r="D373" s="66">
        <v>0</v>
      </c>
      <c r="E373" s="66">
        <v>0</v>
      </c>
      <c r="F373" s="172">
        <v>1</v>
      </c>
      <c r="G373" s="66">
        <v>32000</v>
      </c>
      <c r="H373" s="1"/>
      <c r="I373" s="1"/>
      <c r="J373" s="1"/>
      <c r="K373" s="1"/>
      <c r="L373" s="1"/>
      <c r="M373" s="1"/>
    </row>
    <row r="374" spans="1:13" s="7" customFormat="1" ht="17.25">
      <c r="A374" s="22" t="s">
        <v>604</v>
      </c>
      <c r="B374" s="66">
        <v>0</v>
      </c>
      <c r="C374" s="66">
        <v>0</v>
      </c>
      <c r="D374" s="66">
        <v>0</v>
      </c>
      <c r="E374" s="66">
        <v>0</v>
      </c>
      <c r="F374" s="172">
        <v>1</v>
      </c>
      <c r="G374" s="66">
        <v>67500</v>
      </c>
      <c r="H374" s="1"/>
      <c r="I374" s="1"/>
      <c r="J374" s="1"/>
      <c r="K374" s="1"/>
      <c r="L374" s="1"/>
      <c r="M374" s="1"/>
    </row>
    <row r="375" spans="1:13" s="7" customFormat="1" ht="17.25">
      <c r="A375" s="24" t="s">
        <v>80</v>
      </c>
      <c r="B375" s="66"/>
      <c r="C375" s="66"/>
      <c r="D375" s="66"/>
      <c r="E375" s="66"/>
      <c r="F375" s="66"/>
      <c r="G375" s="66"/>
      <c r="H375" s="1"/>
      <c r="I375" s="1"/>
      <c r="J375" s="1"/>
      <c r="K375" s="1"/>
      <c r="L375" s="1"/>
      <c r="M375" s="1"/>
    </row>
    <row r="376" spans="1:13" s="7" customFormat="1" ht="17.25">
      <c r="A376" s="22" t="s">
        <v>478</v>
      </c>
      <c r="B376" s="66">
        <v>0</v>
      </c>
      <c r="C376" s="66">
        <v>0</v>
      </c>
      <c r="D376" s="66">
        <v>0</v>
      </c>
      <c r="E376" s="66">
        <v>30000</v>
      </c>
      <c r="F376" s="172">
        <v>-1</v>
      </c>
      <c r="G376" s="66">
        <v>0</v>
      </c>
      <c r="H376" s="1"/>
      <c r="I376" s="1"/>
      <c r="J376" s="1"/>
      <c r="K376" s="1"/>
      <c r="L376" s="1"/>
      <c r="M376" s="1"/>
    </row>
    <row r="377" spans="1:13" s="7" customFormat="1" ht="17.25">
      <c r="A377" s="24" t="s">
        <v>119</v>
      </c>
      <c r="B377" s="66"/>
      <c r="C377" s="66"/>
      <c r="D377" s="66"/>
      <c r="E377" s="66"/>
      <c r="F377" s="66"/>
      <c r="G377" s="66"/>
      <c r="H377" s="1"/>
      <c r="I377" s="1"/>
      <c r="J377" s="1"/>
      <c r="K377" s="1"/>
      <c r="L377" s="1"/>
      <c r="M377" s="1"/>
    </row>
    <row r="378" spans="1:13" s="7" customFormat="1" ht="17.25">
      <c r="A378" s="22" t="s">
        <v>479</v>
      </c>
      <c r="B378" s="66">
        <v>0</v>
      </c>
      <c r="C378" s="66">
        <v>0</v>
      </c>
      <c r="D378" s="66">
        <v>0</v>
      </c>
      <c r="E378" s="66">
        <v>16000</v>
      </c>
      <c r="F378" s="172">
        <v>0</v>
      </c>
      <c r="G378" s="66">
        <v>16000</v>
      </c>
      <c r="H378" s="1"/>
      <c r="I378" s="1"/>
      <c r="J378" s="1"/>
      <c r="K378" s="1"/>
      <c r="L378" s="1"/>
      <c r="M378" s="1"/>
    </row>
    <row r="379" spans="1:13" s="7" customFormat="1" ht="17.25">
      <c r="A379" s="22" t="s">
        <v>121</v>
      </c>
      <c r="B379" s="66">
        <v>0</v>
      </c>
      <c r="C379" s="66">
        <v>0</v>
      </c>
      <c r="D379" s="66">
        <v>0</v>
      </c>
      <c r="E379" s="66">
        <v>3300</v>
      </c>
      <c r="F379" s="172">
        <v>-1</v>
      </c>
      <c r="G379" s="66">
        <v>0</v>
      </c>
      <c r="H379" s="1"/>
      <c r="I379" s="1"/>
      <c r="J379" s="1"/>
      <c r="K379" s="1"/>
      <c r="L379" s="1"/>
      <c r="M379" s="1"/>
    </row>
    <row r="380" spans="1:13" s="7" customFormat="1" ht="17.25">
      <c r="A380" s="22" t="s">
        <v>605</v>
      </c>
      <c r="B380" s="66">
        <v>0</v>
      </c>
      <c r="C380" s="66">
        <v>0</v>
      </c>
      <c r="D380" s="66">
        <v>0</v>
      </c>
      <c r="E380" s="66">
        <v>0</v>
      </c>
      <c r="F380" s="172">
        <v>1</v>
      </c>
      <c r="G380" s="66">
        <v>12900</v>
      </c>
      <c r="H380" s="1"/>
      <c r="I380" s="1"/>
      <c r="J380" s="1"/>
      <c r="K380" s="1"/>
      <c r="L380" s="1"/>
      <c r="M380" s="1"/>
    </row>
    <row r="381" spans="1:13" s="7" customFormat="1" ht="17.25">
      <c r="A381" s="27" t="s">
        <v>127</v>
      </c>
      <c r="B381" s="65">
        <v>0</v>
      </c>
      <c r="C381" s="65">
        <v>0</v>
      </c>
      <c r="D381" s="65">
        <v>0</v>
      </c>
      <c r="E381" s="65">
        <v>40000</v>
      </c>
      <c r="F381" s="59">
        <v>1</v>
      </c>
      <c r="G381" s="65">
        <v>40000</v>
      </c>
      <c r="H381" s="1"/>
      <c r="I381" s="1"/>
      <c r="J381" s="1"/>
      <c r="K381" s="1"/>
      <c r="L381" s="1"/>
      <c r="M381" s="1"/>
    </row>
    <row r="382" spans="1:13" s="7" customFormat="1" ht="17.25">
      <c r="A382" s="16" t="s">
        <v>82</v>
      </c>
      <c r="B382" s="92">
        <v>0</v>
      </c>
      <c r="C382" s="92">
        <v>0</v>
      </c>
      <c r="D382" s="92">
        <f>D381</f>
        <v>0</v>
      </c>
      <c r="E382" s="92">
        <f>E376+E378+E379+E381</f>
        <v>89300</v>
      </c>
      <c r="F382" s="92"/>
      <c r="G382" s="92">
        <f>G371+G372+G373+G374+G375+G376+G377+G378+G379+G380+G381</f>
        <v>598600</v>
      </c>
      <c r="H382" s="1"/>
      <c r="I382" s="1"/>
      <c r="J382" s="1"/>
      <c r="K382" s="1"/>
      <c r="L382" s="1"/>
      <c r="M382" s="1"/>
    </row>
    <row r="383" spans="1:13" s="7" customFormat="1" ht="17.25">
      <c r="A383" s="23" t="s">
        <v>152</v>
      </c>
      <c r="B383" s="65"/>
      <c r="C383" s="65"/>
      <c r="D383" s="65"/>
      <c r="E383" s="65"/>
      <c r="F383" s="65"/>
      <c r="G383" s="65"/>
      <c r="H383" s="1"/>
      <c r="I383" s="1"/>
      <c r="J383" s="1"/>
      <c r="K383" s="1"/>
      <c r="L383" s="1"/>
      <c r="M383" s="1"/>
    </row>
    <row r="384" spans="1:13" s="7" customFormat="1" ht="17.25">
      <c r="A384" s="31" t="s">
        <v>153</v>
      </c>
      <c r="B384" s="65"/>
      <c r="C384" s="65"/>
      <c r="D384" s="65"/>
      <c r="E384" s="65"/>
      <c r="F384" s="65"/>
      <c r="G384" s="65"/>
      <c r="H384" s="1"/>
      <c r="I384" s="1"/>
      <c r="J384" s="1"/>
      <c r="K384" s="1"/>
      <c r="L384" s="1"/>
      <c r="M384" s="1"/>
    </row>
    <row r="385" spans="1:13" s="7" customFormat="1" ht="17.25">
      <c r="A385" s="19" t="s">
        <v>154</v>
      </c>
      <c r="B385" s="66">
        <v>0</v>
      </c>
      <c r="C385" s="66">
        <v>0</v>
      </c>
      <c r="D385" s="66">
        <v>150000</v>
      </c>
      <c r="E385" s="66">
        <v>0</v>
      </c>
      <c r="F385" s="172">
        <v>0</v>
      </c>
      <c r="G385" s="66">
        <v>0</v>
      </c>
      <c r="H385" s="1"/>
      <c r="I385" s="1"/>
      <c r="J385" s="1"/>
      <c r="K385" s="1"/>
      <c r="L385" s="1"/>
      <c r="M385" s="1"/>
    </row>
    <row r="386" spans="1:13" s="7" customFormat="1" ht="17.25">
      <c r="A386" s="22" t="s">
        <v>155</v>
      </c>
      <c r="B386" s="56">
        <v>0</v>
      </c>
      <c r="C386" s="56">
        <v>0</v>
      </c>
      <c r="D386" s="54">
        <v>150000</v>
      </c>
      <c r="E386" s="54">
        <v>0</v>
      </c>
      <c r="F386" s="59">
        <v>0</v>
      </c>
      <c r="G386" s="54">
        <v>0</v>
      </c>
      <c r="H386" s="1"/>
      <c r="I386" s="1"/>
      <c r="J386" s="1"/>
      <c r="K386" s="1"/>
      <c r="L386" s="1"/>
      <c r="M386" s="1"/>
    </row>
    <row r="387" spans="1:13" s="7" customFormat="1" ht="17.25">
      <c r="A387" s="22" t="s">
        <v>606</v>
      </c>
      <c r="B387" s="186">
        <v>0</v>
      </c>
      <c r="C387" s="186">
        <v>0</v>
      </c>
      <c r="D387" s="187">
        <v>0</v>
      </c>
      <c r="E387" s="187">
        <v>0</v>
      </c>
      <c r="F387" s="167">
        <v>1</v>
      </c>
      <c r="G387" s="187">
        <v>50000</v>
      </c>
      <c r="H387" s="1"/>
      <c r="I387" s="1"/>
      <c r="J387" s="1"/>
      <c r="K387" s="1"/>
      <c r="L387" s="1"/>
      <c r="M387" s="1"/>
    </row>
    <row r="388" spans="1:13" s="7" customFormat="1" ht="17.25">
      <c r="A388" s="22" t="s">
        <v>607</v>
      </c>
      <c r="B388" s="186">
        <v>0</v>
      </c>
      <c r="C388" s="186">
        <v>0</v>
      </c>
      <c r="D388" s="187">
        <v>0</v>
      </c>
      <c r="E388" s="187">
        <v>0</v>
      </c>
      <c r="F388" s="167">
        <v>1</v>
      </c>
      <c r="G388" s="187">
        <v>50000</v>
      </c>
      <c r="H388" s="1"/>
      <c r="I388" s="1"/>
      <c r="J388" s="1"/>
      <c r="K388" s="1"/>
      <c r="L388" s="1"/>
      <c r="M388" s="1"/>
    </row>
    <row r="389" spans="1:13" s="7" customFormat="1" ht="17.25">
      <c r="A389" s="22" t="s">
        <v>608</v>
      </c>
      <c r="B389" s="186">
        <v>0</v>
      </c>
      <c r="C389" s="186">
        <v>0</v>
      </c>
      <c r="D389" s="187">
        <v>0</v>
      </c>
      <c r="E389" s="187">
        <v>0</v>
      </c>
      <c r="F389" s="167">
        <v>1</v>
      </c>
      <c r="G389" s="187">
        <v>80000</v>
      </c>
      <c r="H389" s="1"/>
      <c r="I389" s="1"/>
      <c r="J389" s="1"/>
      <c r="K389" s="1"/>
      <c r="L389" s="1"/>
      <c r="M389" s="1"/>
    </row>
    <row r="390" spans="1:13" s="7" customFormat="1" ht="17.25">
      <c r="A390" s="22" t="s">
        <v>609</v>
      </c>
      <c r="B390" s="186">
        <v>0</v>
      </c>
      <c r="C390" s="186">
        <v>0</v>
      </c>
      <c r="D390" s="187">
        <v>0</v>
      </c>
      <c r="E390" s="187">
        <v>0</v>
      </c>
      <c r="F390" s="167">
        <v>1</v>
      </c>
      <c r="G390" s="187">
        <v>50000</v>
      </c>
      <c r="H390" s="1"/>
      <c r="I390" s="1"/>
      <c r="J390" s="1"/>
      <c r="K390" s="1"/>
      <c r="L390" s="1"/>
      <c r="M390" s="1"/>
    </row>
    <row r="391" spans="1:13" s="7" customFormat="1" ht="17.25">
      <c r="A391" s="4" t="s">
        <v>156</v>
      </c>
      <c r="B391" s="83"/>
      <c r="C391" s="83"/>
      <c r="D391" s="83"/>
      <c r="E391" s="83"/>
      <c r="F391" s="164"/>
      <c r="G391" s="83"/>
      <c r="H391" s="1"/>
      <c r="I391" s="1"/>
      <c r="J391" s="1"/>
      <c r="K391" s="1"/>
      <c r="L391" s="1"/>
      <c r="M391" s="1"/>
    </row>
    <row r="392" spans="1:13" s="7" customFormat="1" ht="17.25">
      <c r="A392" s="27" t="s">
        <v>326</v>
      </c>
      <c r="B392" s="200">
        <v>0</v>
      </c>
      <c r="C392" s="200">
        <v>0</v>
      </c>
      <c r="D392" s="200">
        <f>600000-70500</f>
        <v>529500</v>
      </c>
      <c r="E392" s="200">
        <v>0</v>
      </c>
      <c r="F392" s="203">
        <v>0</v>
      </c>
      <c r="G392" s="200">
        <v>0</v>
      </c>
      <c r="H392" s="1"/>
      <c r="I392" s="1"/>
      <c r="J392" s="1"/>
      <c r="K392" s="1"/>
      <c r="L392" s="1"/>
      <c r="M392" s="1"/>
    </row>
    <row r="393" spans="1:13" s="7" customFormat="1" ht="17.25">
      <c r="A393" s="24" t="s">
        <v>327</v>
      </c>
      <c r="B393" s="202"/>
      <c r="C393" s="202"/>
      <c r="D393" s="202"/>
      <c r="E393" s="202"/>
      <c r="F393" s="202"/>
      <c r="G393" s="202"/>
      <c r="H393" s="1"/>
      <c r="I393" s="1"/>
      <c r="J393" s="1"/>
      <c r="K393" s="1"/>
      <c r="L393" s="1"/>
      <c r="M393" s="1"/>
    </row>
    <row r="394" spans="1:13" s="7" customFormat="1" ht="17.25">
      <c r="A394" s="22" t="s">
        <v>157</v>
      </c>
      <c r="B394" s="65">
        <v>0</v>
      </c>
      <c r="C394" s="65">
        <v>0</v>
      </c>
      <c r="D394" s="65">
        <v>210000</v>
      </c>
      <c r="E394" s="65">
        <v>0</v>
      </c>
      <c r="F394" s="59">
        <v>0</v>
      </c>
      <c r="G394" s="65">
        <v>0</v>
      </c>
      <c r="H394" s="1"/>
      <c r="I394" s="1"/>
      <c r="J394" s="1"/>
      <c r="K394" s="1"/>
      <c r="L394" s="1"/>
    </row>
    <row r="395" spans="1:13" s="7" customFormat="1" ht="17.25">
      <c r="A395" s="27" t="s">
        <v>480</v>
      </c>
      <c r="B395" s="200">
        <v>0</v>
      </c>
      <c r="C395" s="200">
        <v>0</v>
      </c>
      <c r="D395" s="200">
        <v>252000</v>
      </c>
      <c r="E395" s="200">
        <v>0</v>
      </c>
      <c r="F395" s="203">
        <v>0</v>
      </c>
      <c r="G395" s="200">
        <v>0</v>
      </c>
      <c r="H395" s="1"/>
      <c r="I395" s="1"/>
      <c r="J395" s="1"/>
      <c r="K395" s="1"/>
      <c r="L395" s="1"/>
      <c r="M395" s="1"/>
    </row>
    <row r="396" spans="1:13" s="7" customFormat="1" ht="17.25">
      <c r="A396" s="24" t="s">
        <v>481</v>
      </c>
      <c r="B396" s="202"/>
      <c r="C396" s="202"/>
      <c r="D396" s="202"/>
      <c r="E396" s="202"/>
      <c r="F396" s="202"/>
      <c r="G396" s="202"/>
      <c r="H396" s="1"/>
      <c r="I396" s="1"/>
      <c r="J396" s="1"/>
      <c r="K396" s="1"/>
      <c r="L396" s="1"/>
      <c r="M396" s="1"/>
    </row>
    <row r="397" spans="1:13" s="7" customFormat="1" ht="17.25">
      <c r="A397" s="27" t="s">
        <v>158</v>
      </c>
      <c r="B397" s="8"/>
      <c r="C397" s="8"/>
      <c r="D397" s="8"/>
      <c r="E397" s="8"/>
      <c r="F397" s="8"/>
      <c r="G397" s="8"/>
      <c r="H397" s="1"/>
      <c r="I397" s="1"/>
      <c r="J397" s="1"/>
      <c r="K397" s="1"/>
      <c r="L397" s="1"/>
    </row>
    <row r="398" spans="1:13" s="7" customFormat="1" ht="17.25">
      <c r="A398" s="27" t="s">
        <v>328</v>
      </c>
      <c r="B398" s="200">
        <v>0</v>
      </c>
      <c r="C398" s="200">
        <v>0</v>
      </c>
      <c r="D398" s="200">
        <v>15000</v>
      </c>
      <c r="E398" s="200">
        <v>0</v>
      </c>
      <c r="F398" s="203">
        <v>0</v>
      </c>
      <c r="G398" s="200">
        <v>0</v>
      </c>
      <c r="H398" s="1"/>
      <c r="I398" s="1"/>
      <c r="J398" s="1"/>
      <c r="K398" s="1"/>
      <c r="L398" s="1"/>
    </row>
    <row r="399" spans="1:13" s="7" customFormat="1" ht="17.25">
      <c r="A399" s="24" t="s">
        <v>329</v>
      </c>
      <c r="B399" s="202"/>
      <c r="C399" s="202"/>
      <c r="D399" s="202"/>
      <c r="E399" s="202"/>
      <c r="F399" s="202"/>
      <c r="G399" s="202"/>
      <c r="H399" s="1"/>
      <c r="I399" s="1"/>
      <c r="J399" s="1"/>
      <c r="K399" s="1"/>
      <c r="L399" s="1"/>
    </row>
    <row r="400" spans="1:13" s="7" customFormat="1" ht="17.25">
      <c r="A400" s="27" t="s">
        <v>482</v>
      </c>
      <c r="B400" s="200">
        <v>0</v>
      </c>
      <c r="C400" s="200">
        <v>0</v>
      </c>
      <c r="D400" s="200">
        <v>20000</v>
      </c>
      <c r="E400" s="200">
        <v>0</v>
      </c>
      <c r="F400" s="203">
        <v>0</v>
      </c>
      <c r="G400" s="200">
        <v>0</v>
      </c>
      <c r="H400" s="1"/>
      <c r="I400" s="1"/>
      <c r="J400" s="1"/>
      <c r="K400" s="1"/>
      <c r="L400" s="1"/>
    </row>
    <row r="401" spans="1:12" s="7" customFormat="1" ht="17.25">
      <c r="A401" s="24" t="s">
        <v>483</v>
      </c>
      <c r="B401" s="202"/>
      <c r="C401" s="202"/>
      <c r="D401" s="202"/>
      <c r="E401" s="202"/>
      <c r="F401" s="202"/>
      <c r="G401" s="202"/>
      <c r="H401" s="1"/>
      <c r="I401" s="1"/>
      <c r="J401" s="1"/>
      <c r="K401" s="1"/>
      <c r="L401" s="1"/>
    </row>
    <row r="402" spans="1:12" s="7" customFormat="1" ht="17.25">
      <c r="A402" s="22" t="s">
        <v>484</v>
      </c>
      <c r="B402" s="166">
        <v>0</v>
      </c>
      <c r="C402" s="166">
        <v>0</v>
      </c>
      <c r="D402" s="166">
        <v>0</v>
      </c>
      <c r="E402" s="166">
        <v>20000</v>
      </c>
      <c r="F402" s="172">
        <v>-1</v>
      </c>
      <c r="G402" s="166">
        <v>0</v>
      </c>
      <c r="H402" s="1"/>
      <c r="I402" s="1"/>
      <c r="J402" s="1"/>
      <c r="K402" s="1"/>
      <c r="L402" s="1"/>
    </row>
    <row r="403" spans="1:12" s="7" customFormat="1" ht="17.25">
      <c r="A403" s="24" t="s">
        <v>159</v>
      </c>
      <c r="B403" s="65">
        <v>252000</v>
      </c>
      <c r="C403" s="65">
        <v>46000</v>
      </c>
      <c r="D403" s="65">
        <v>0</v>
      </c>
      <c r="E403" s="65">
        <v>0</v>
      </c>
      <c r="F403" s="119">
        <v>0</v>
      </c>
      <c r="G403" s="65">
        <v>0</v>
      </c>
      <c r="H403" s="1"/>
      <c r="I403" s="1"/>
      <c r="J403" s="1"/>
      <c r="K403" s="1"/>
      <c r="L403" s="1"/>
    </row>
    <row r="404" spans="1:12" s="7" customFormat="1" ht="17.25">
      <c r="A404" s="15" t="s">
        <v>160</v>
      </c>
      <c r="B404" s="92">
        <f>B403</f>
        <v>252000</v>
      </c>
      <c r="C404" s="92">
        <v>46000</v>
      </c>
      <c r="D404" s="92">
        <f>D385+D386+D392+D393+D394+D398+D399+D400+D401+D395+D396</f>
        <v>1326500</v>
      </c>
      <c r="E404" s="92">
        <f>20000</f>
        <v>20000</v>
      </c>
      <c r="F404" s="88"/>
      <c r="G404" s="92">
        <f>G386+G387+G388+G389+G390+G391+G392+G393+G394+G395+G396+G397+G398+G399+G400+G401+G402+G403</f>
        <v>230000</v>
      </c>
      <c r="H404" s="1"/>
      <c r="I404" s="1"/>
      <c r="J404" s="1"/>
      <c r="K404" s="1"/>
      <c r="L404" s="1"/>
    </row>
    <row r="405" spans="1:12" s="7" customFormat="1" ht="17.25">
      <c r="A405" s="16" t="s">
        <v>88</v>
      </c>
      <c r="B405" s="93">
        <f>B382+B404</f>
        <v>252000</v>
      </c>
      <c r="C405" s="93">
        <f>C382+C404</f>
        <v>46000</v>
      </c>
      <c r="D405" s="93">
        <f>D382+D404</f>
        <v>1326500</v>
      </c>
      <c r="E405" s="93">
        <f>E382+E404</f>
        <v>109300</v>
      </c>
      <c r="F405" s="73"/>
      <c r="G405" s="93">
        <f>G382+G404</f>
        <v>828600</v>
      </c>
      <c r="H405" s="1"/>
      <c r="I405" s="1"/>
      <c r="J405" s="1"/>
      <c r="K405" s="1"/>
      <c r="L405" s="1"/>
    </row>
    <row r="406" spans="1:12" s="7" customFormat="1" ht="17.25">
      <c r="A406" s="29" t="s">
        <v>94</v>
      </c>
      <c r="B406" s="66"/>
      <c r="C406" s="66"/>
      <c r="D406" s="66"/>
      <c r="E406" s="66"/>
      <c r="F406" s="166"/>
      <c r="G406" s="66"/>
      <c r="H406" s="1"/>
      <c r="I406" s="1"/>
      <c r="J406" s="1"/>
      <c r="K406" s="1"/>
      <c r="L406" s="1"/>
    </row>
    <row r="407" spans="1:12" ht="17.25">
      <c r="A407" s="27" t="s">
        <v>161</v>
      </c>
      <c r="B407" s="83"/>
      <c r="C407" s="83"/>
      <c r="D407" s="83"/>
      <c r="E407" s="83"/>
      <c r="F407" s="164"/>
      <c r="G407" s="83"/>
      <c r="H407" s="1"/>
      <c r="I407" s="1"/>
      <c r="J407" s="1"/>
      <c r="K407" s="1"/>
      <c r="L407" s="1"/>
    </row>
    <row r="408" spans="1:12" ht="17.25">
      <c r="A408" s="22" t="s">
        <v>96</v>
      </c>
      <c r="B408" s="65">
        <v>2534500</v>
      </c>
      <c r="C408" s="65">
        <v>2342240</v>
      </c>
      <c r="D408" s="65">
        <v>2379920</v>
      </c>
      <c r="E408" s="65">
        <v>2430000</v>
      </c>
      <c r="F408" s="62">
        <v>1</v>
      </c>
      <c r="G408" s="65">
        <v>2400000</v>
      </c>
      <c r="H408" s="1"/>
      <c r="I408" s="1"/>
      <c r="J408" s="1"/>
      <c r="K408" s="1"/>
      <c r="L408" s="1"/>
    </row>
    <row r="409" spans="1:12" ht="17.25">
      <c r="A409" s="37" t="s">
        <v>98</v>
      </c>
      <c r="B409" s="92">
        <v>2534500</v>
      </c>
      <c r="C409" s="92">
        <v>2342240</v>
      </c>
      <c r="D409" s="92">
        <f>D408</f>
        <v>2379920</v>
      </c>
      <c r="E409" s="92">
        <v>2430000</v>
      </c>
      <c r="F409" s="88"/>
      <c r="G409" s="92">
        <f>G408</f>
        <v>2400000</v>
      </c>
      <c r="H409" s="1"/>
      <c r="I409" s="1"/>
      <c r="J409" s="1"/>
      <c r="K409" s="1"/>
      <c r="L409" s="1"/>
    </row>
    <row r="410" spans="1:12" ht="17.25">
      <c r="A410" s="32" t="s">
        <v>99</v>
      </c>
      <c r="B410" s="97">
        <v>2534500</v>
      </c>
      <c r="C410" s="97">
        <v>2342240</v>
      </c>
      <c r="D410" s="97">
        <f>D409</f>
        <v>2379920</v>
      </c>
      <c r="E410" s="97">
        <v>2430000</v>
      </c>
      <c r="F410" s="98"/>
      <c r="G410" s="97">
        <f>G409</f>
        <v>2400000</v>
      </c>
      <c r="H410" s="1"/>
      <c r="I410" s="1"/>
      <c r="J410" s="1"/>
      <c r="K410" s="1"/>
      <c r="L410" s="1"/>
    </row>
    <row r="411" spans="1:12" ht="17.25">
      <c r="A411" s="16" t="s">
        <v>162</v>
      </c>
      <c r="B411" s="93">
        <f>B334+B367+B405+B410</f>
        <v>5033975.26</v>
      </c>
      <c r="C411" s="93">
        <f>C334+C367+C405+C410</f>
        <v>4522422.9800000004</v>
      </c>
      <c r="D411" s="93">
        <f>D334+D367+D405+D410</f>
        <v>7791375.2800000003</v>
      </c>
      <c r="E411" s="93">
        <f>E334+E367+E405+E410</f>
        <v>7411500</v>
      </c>
      <c r="F411" s="73"/>
      <c r="G411" s="93">
        <f>G334+G367+G405+G410</f>
        <v>8630000</v>
      </c>
      <c r="H411" s="1"/>
      <c r="I411" s="1"/>
      <c r="J411" s="1"/>
      <c r="K411" s="1"/>
      <c r="L411" s="1"/>
    </row>
    <row r="412" spans="1:12" ht="17.25">
      <c r="A412" s="23" t="s">
        <v>163</v>
      </c>
      <c r="B412" s="66"/>
      <c r="C412" s="66"/>
      <c r="D412" s="66"/>
      <c r="E412" s="66"/>
      <c r="F412" s="166"/>
      <c r="G412" s="66"/>
      <c r="H412" s="1"/>
      <c r="I412" s="1"/>
      <c r="J412" s="1"/>
      <c r="K412" s="1"/>
      <c r="L412" s="1"/>
    </row>
    <row r="413" spans="1:12" ht="17.25">
      <c r="A413" s="21" t="s">
        <v>33</v>
      </c>
      <c r="B413" s="83"/>
      <c r="C413" s="83"/>
      <c r="D413" s="83"/>
      <c r="E413" s="83"/>
      <c r="F413" s="164"/>
      <c r="G413" s="83"/>
    </row>
    <row r="414" spans="1:12" ht="17.25">
      <c r="A414" s="24" t="s">
        <v>164</v>
      </c>
      <c r="B414" s="65"/>
      <c r="C414" s="65"/>
      <c r="D414" s="65"/>
      <c r="E414" s="65"/>
      <c r="F414" s="176"/>
      <c r="G414" s="65"/>
    </row>
    <row r="415" spans="1:12" ht="17.25">
      <c r="A415" s="27" t="s">
        <v>42</v>
      </c>
      <c r="B415" s="66">
        <f>219579+105760</f>
        <v>325339</v>
      </c>
      <c r="C415" s="66">
        <v>0</v>
      </c>
      <c r="D415" s="66">
        <v>27000</v>
      </c>
      <c r="E415" s="66">
        <v>26500</v>
      </c>
      <c r="F415" s="105" t="s">
        <v>485</v>
      </c>
      <c r="G415" s="66">
        <v>26000</v>
      </c>
    </row>
    <row r="416" spans="1:12" ht="17.25">
      <c r="A416" s="17" t="s">
        <v>44</v>
      </c>
      <c r="B416" s="200"/>
      <c r="C416" s="200"/>
      <c r="D416" s="200"/>
      <c r="E416" s="200"/>
      <c r="F416" s="200"/>
      <c r="G416" s="200"/>
    </row>
    <row r="417" spans="1:13" ht="17.25">
      <c r="A417" s="18" t="s">
        <v>308</v>
      </c>
      <c r="B417" s="202"/>
      <c r="C417" s="202"/>
      <c r="D417" s="202"/>
      <c r="E417" s="202"/>
      <c r="F417" s="202"/>
      <c r="G417" s="202"/>
    </row>
    <row r="418" spans="1:13" ht="17.25">
      <c r="A418" s="24" t="s">
        <v>165</v>
      </c>
      <c r="B418" s="66">
        <v>0</v>
      </c>
      <c r="C418" s="66">
        <v>98540</v>
      </c>
      <c r="D418" s="66">
        <v>0</v>
      </c>
      <c r="E418" s="66">
        <v>0</v>
      </c>
      <c r="F418" s="175"/>
      <c r="G418" s="66">
        <v>0</v>
      </c>
    </row>
    <row r="419" spans="1:13" s="7" customFormat="1" ht="17.25">
      <c r="A419" s="22" t="s">
        <v>166</v>
      </c>
      <c r="B419" s="65">
        <v>0</v>
      </c>
      <c r="C419" s="65">
        <v>0</v>
      </c>
      <c r="D419" s="65">
        <v>150000</v>
      </c>
      <c r="E419" s="65">
        <v>0</v>
      </c>
      <c r="F419" s="59">
        <v>0</v>
      </c>
      <c r="G419" s="65">
        <v>0</v>
      </c>
      <c r="H419" s="1"/>
      <c r="I419" s="1"/>
      <c r="J419" s="1"/>
      <c r="K419" s="1"/>
      <c r="L419" s="1"/>
      <c r="M419" s="1"/>
    </row>
    <row r="420" spans="1:13" s="7" customFormat="1" ht="17.25">
      <c r="A420" s="22" t="s">
        <v>486</v>
      </c>
      <c r="B420" s="83">
        <v>0</v>
      </c>
      <c r="C420" s="83">
        <v>0</v>
      </c>
      <c r="D420" s="83">
        <v>0</v>
      </c>
      <c r="E420" s="83">
        <v>106000</v>
      </c>
      <c r="F420" s="167">
        <v>-1</v>
      </c>
      <c r="G420" s="83">
        <v>0</v>
      </c>
      <c r="H420" s="1"/>
      <c r="I420" s="1"/>
      <c r="J420" s="1"/>
      <c r="K420" s="1"/>
      <c r="L420" s="1"/>
      <c r="M420" s="1"/>
    </row>
    <row r="421" spans="1:13" s="7" customFormat="1" ht="17.25">
      <c r="A421" s="22" t="s">
        <v>610</v>
      </c>
      <c r="B421" s="83">
        <v>0</v>
      </c>
      <c r="C421" s="83">
        <v>0</v>
      </c>
      <c r="D421" s="83">
        <v>0</v>
      </c>
      <c r="E421" s="83">
        <v>0</v>
      </c>
      <c r="F421" s="167">
        <v>1</v>
      </c>
      <c r="G421" s="83">
        <v>80000</v>
      </c>
      <c r="H421" s="1"/>
      <c r="I421" s="1"/>
      <c r="J421" s="1"/>
      <c r="K421" s="1"/>
      <c r="L421" s="1"/>
      <c r="M421" s="1"/>
    </row>
    <row r="422" spans="1:13" s="7" customFormat="1" ht="17.25">
      <c r="A422" s="16" t="s">
        <v>50</v>
      </c>
      <c r="B422" s="97">
        <f>B415</f>
        <v>325339</v>
      </c>
      <c r="C422" s="97">
        <v>98540</v>
      </c>
      <c r="D422" s="93">
        <v>177000</v>
      </c>
      <c r="E422" s="93">
        <f>E415+E419+E420</f>
        <v>132500</v>
      </c>
      <c r="F422" s="73"/>
      <c r="G422" s="93">
        <f>G415+G421</f>
        <v>106000</v>
      </c>
      <c r="H422" s="1"/>
      <c r="I422" s="1"/>
      <c r="J422" s="1"/>
      <c r="K422" s="1"/>
      <c r="L422" s="1"/>
      <c r="M422" s="1"/>
    </row>
    <row r="423" spans="1:13" s="7" customFormat="1" ht="17.25">
      <c r="A423" s="23" t="s">
        <v>51</v>
      </c>
      <c r="B423" s="19"/>
      <c r="C423" s="19"/>
      <c r="D423" s="155"/>
      <c r="E423" s="18"/>
      <c r="F423" s="18"/>
      <c r="G423" s="18"/>
      <c r="H423" s="1"/>
      <c r="I423" s="1"/>
      <c r="J423" s="1"/>
      <c r="K423" s="1"/>
      <c r="L423" s="1"/>
      <c r="M423" s="1"/>
    </row>
    <row r="424" spans="1:13" s="7" customFormat="1" ht="17.25">
      <c r="A424" s="27" t="s">
        <v>59</v>
      </c>
      <c r="B424" s="65">
        <v>33190</v>
      </c>
      <c r="C424" s="65">
        <v>115790</v>
      </c>
      <c r="D424" s="153">
        <v>105000</v>
      </c>
      <c r="E424" s="65">
        <v>140000</v>
      </c>
      <c r="F424" s="127">
        <v>-0.28570000000000001</v>
      </c>
      <c r="G424" s="65">
        <v>100000</v>
      </c>
      <c r="H424" s="1"/>
      <c r="I424" s="1"/>
      <c r="J424" s="1"/>
      <c r="K424" s="1"/>
      <c r="L424" s="1"/>
      <c r="M424" s="1"/>
    </row>
    <row r="425" spans="1:13" s="7" customFormat="1" ht="17.25">
      <c r="A425" s="16" t="s">
        <v>60</v>
      </c>
      <c r="B425" s="93">
        <f>B424</f>
        <v>33190</v>
      </c>
      <c r="C425" s="93">
        <v>115790</v>
      </c>
      <c r="D425" s="156">
        <f>D424</f>
        <v>105000</v>
      </c>
      <c r="E425" s="92">
        <v>140000</v>
      </c>
      <c r="F425" s="88"/>
      <c r="G425" s="92">
        <f>G424</f>
        <v>100000</v>
      </c>
      <c r="H425" s="1"/>
      <c r="I425" s="1"/>
      <c r="J425" s="1"/>
      <c r="K425" s="1"/>
      <c r="L425" s="1"/>
      <c r="M425" s="1"/>
    </row>
    <row r="426" spans="1:13" s="7" customFormat="1" ht="17.25">
      <c r="A426" s="15" t="s">
        <v>68</v>
      </c>
      <c r="B426" s="93">
        <f>B422+B425</f>
        <v>358529</v>
      </c>
      <c r="C426" s="93">
        <f>C422+C425</f>
        <v>214330</v>
      </c>
      <c r="D426" s="157">
        <f>D422+D425</f>
        <v>282000</v>
      </c>
      <c r="E426" s="93">
        <f>E422+E425</f>
        <v>272500</v>
      </c>
      <c r="F426" s="73"/>
      <c r="G426" s="93">
        <f>G422+G425</f>
        <v>206000</v>
      </c>
      <c r="H426" s="1"/>
      <c r="I426" s="1"/>
      <c r="J426" s="1"/>
      <c r="K426" s="1"/>
      <c r="L426" s="1"/>
      <c r="M426" s="1"/>
    </row>
    <row r="427" spans="1:13" s="7" customFormat="1" ht="17.25">
      <c r="A427" s="28" t="s">
        <v>167</v>
      </c>
      <c r="B427" s="93">
        <f>B426</f>
        <v>358529</v>
      </c>
      <c r="C427" s="93">
        <f>C426</f>
        <v>214330</v>
      </c>
      <c r="D427" s="157">
        <f>D426</f>
        <v>282000</v>
      </c>
      <c r="E427" s="93">
        <f>E426</f>
        <v>272500</v>
      </c>
      <c r="F427" s="73"/>
      <c r="G427" s="93">
        <f>G426</f>
        <v>206000</v>
      </c>
      <c r="H427" s="1"/>
      <c r="I427" s="1"/>
      <c r="J427" s="1"/>
      <c r="K427" s="1"/>
      <c r="L427" s="1"/>
      <c r="M427" s="1"/>
    </row>
    <row r="428" spans="1:13" s="7" customFormat="1" ht="17.25">
      <c r="A428" s="16" t="s">
        <v>168</v>
      </c>
      <c r="B428" s="93">
        <f>B326+B411+B427</f>
        <v>7119289.5399999991</v>
      </c>
      <c r="C428" s="93">
        <f>C326+C411+C427</f>
        <v>6267420.9800000004</v>
      </c>
      <c r="D428" s="156">
        <f>D326+D411+D427</f>
        <v>9400115.2800000012</v>
      </c>
      <c r="E428" s="92">
        <f>E326+E411+E427</f>
        <v>8985750</v>
      </c>
      <c r="F428" s="88"/>
      <c r="G428" s="92">
        <f>G326+G411+G427</f>
        <v>9430600</v>
      </c>
      <c r="H428" s="1"/>
      <c r="I428" s="1"/>
      <c r="J428" s="1"/>
      <c r="K428" s="1"/>
      <c r="L428" s="1"/>
      <c r="M428" s="1"/>
    </row>
    <row r="429" spans="1:13" s="7" customFormat="1" ht="17.25">
      <c r="A429" s="21" t="s">
        <v>169</v>
      </c>
      <c r="B429" s="56"/>
      <c r="C429" s="56"/>
      <c r="D429" s="54"/>
      <c r="E429" s="54"/>
      <c r="F429" s="176"/>
      <c r="G429" s="54"/>
      <c r="H429" s="1"/>
      <c r="I429" s="1"/>
      <c r="J429" s="1"/>
      <c r="K429" s="1"/>
      <c r="L429" s="1"/>
      <c r="M429" s="1"/>
    </row>
    <row r="430" spans="1:13" s="7" customFormat="1" ht="17.25">
      <c r="A430" s="21" t="s">
        <v>170</v>
      </c>
      <c r="B430" s="65"/>
      <c r="C430" s="65"/>
      <c r="D430" s="158"/>
      <c r="E430" s="83"/>
      <c r="F430" s="164"/>
      <c r="G430" s="83"/>
      <c r="H430" s="1"/>
      <c r="I430" s="1"/>
      <c r="J430" s="1"/>
      <c r="K430" s="1"/>
      <c r="L430" s="1"/>
      <c r="M430" s="1"/>
    </row>
    <row r="431" spans="1:13" s="7" customFormat="1" ht="17.25">
      <c r="A431" s="23" t="s">
        <v>105</v>
      </c>
      <c r="B431" s="65"/>
      <c r="C431" s="65"/>
      <c r="D431" s="153"/>
      <c r="E431" s="65"/>
      <c r="F431" s="176"/>
      <c r="G431" s="65"/>
      <c r="H431" s="1"/>
      <c r="I431" s="1"/>
      <c r="J431" s="1"/>
      <c r="K431" s="1"/>
      <c r="L431" s="1"/>
      <c r="M431" s="1"/>
    </row>
    <row r="432" spans="1:13" s="7" customFormat="1" ht="17.25">
      <c r="A432" s="21" t="s">
        <v>24</v>
      </c>
      <c r="B432" s="65"/>
      <c r="C432" s="65"/>
      <c r="D432" s="154"/>
      <c r="E432" s="66"/>
      <c r="F432" s="166"/>
      <c r="G432" s="66"/>
      <c r="H432" s="1"/>
      <c r="I432" s="1"/>
      <c r="J432" s="1"/>
      <c r="K432" s="1"/>
      <c r="L432" s="1"/>
      <c r="M432" s="1"/>
    </row>
    <row r="433" spans="1:12" s="7" customFormat="1" ht="17.25">
      <c r="A433" s="24" t="s">
        <v>25</v>
      </c>
      <c r="B433" s="66">
        <v>381180</v>
      </c>
      <c r="C433" s="66">
        <f>589190-6000</f>
        <v>583190</v>
      </c>
      <c r="D433" s="66">
        <f>683880-10000</f>
        <v>673880</v>
      </c>
      <c r="E433" s="66">
        <v>718320</v>
      </c>
      <c r="F433" s="140">
        <v>5.11E-2</v>
      </c>
      <c r="G433" s="66">
        <v>755000</v>
      </c>
      <c r="H433" s="1"/>
      <c r="I433" s="1"/>
      <c r="J433" s="1"/>
      <c r="K433" s="1"/>
      <c r="L433" s="1"/>
    </row>
    <row r="434" spans="1:12" s="7" customFormat="1" ht="17.25">
      <c r="A434" s="22" t="s">
        <v>26</v>
      </c>
      <c r="B434" s="56">
        <v>0</v>
      </c>
      <c r="C434" s="56">
        <v>27500</v>
      </c>
      <c r="D434" s="56">
        <v>42000</v>
      </c>
      <c r="E434" s="56">
        <v>42000</v>
      </c>
      <c r="F434" s="196">
        <v>0</v>
      </c>
      <c r="G434" s="56">
        <v>42000</v>
      </c>
      <c r="H434" s="1"/>
      <c r="I434" s="1"/>
      <c r="J434" s="1"/>
      <c r="K434" s="1"/>
      <c r="L434" s="1"/>
    </row>
    <row r="435" spans="1:12" s="7" customFormat="1" ht="17.25">
      <c r="A435" s="22" t="s">
        <v>28</v>
      </c>
      <c r="B435" s="57">
        <v>120000</v>
      </c>
      <c r="C435" s="57">
        <v>270000</v>
      </c>
      <c r="D435" s="57">
        <f>324000-83413</f>
        <v>240587</v>
      </c>
      <c r="E435" s="57">
        <v>324000</v>
      </c>
      <c r="F435" s="63">
        <v>3.0999999999999999E-3</v>
      </c>
      <c r="G435" s="57">
        <v>325000</v>
      </c>
      <c r="H435" s="1"/>
      <c r="I435" s="1"/>
      <c r="J435" s="1"/>
      <c r="K435" s="1"/>
      <c r="L435" s="1"/>
    </row>
    <row r="436" spans="1:12" s="7" customFormat="1" ht="17.25">
      <c r="A436" s="22" t="s">
        <v>106</v>
      </c>
      <c r="B436" s="65">
        <v>0</v>
      </c>
      <c r="C436" s="65">
        <v>36000</v>
      </c>
      <c r="D436" s="65">
        <v>36000</v>
      </c>
      <c r="E436" s="65">
        <v>36000</v>
      </c>
      <c r="F436" s="62">
        <v>0.1111</v>
      </c>
      <c r="G436" s="65">
        <v>40000</v>
      </c>
      <c r="H436" s="1"/>
      <c r="I436" s="1"/>
      <c r="J436" s="1"/>
      <c r="K436" s="1"/>
      <c r="L436" s="1"/>
    </row>
    <row r="437" spans="1:12" s="7" customFormat="1" ht="17.25">
      <c r="A437" s="15" t="s">
        <v>107</v>
      </c>
      <c r="B437" s="92">
        <f>SUM(B433:B436)</f>
        <v>501180</v>
      </c>
      <c r="C437" s="92">
        <f>SUM(C433:C436)</f>
        <v>916690</v>
      </c>
      <c r="D437" s="92">
        <f>SUM(D433:D436)</f>
        <v>992467</v>
      </c>
      <c r="E437" s="92">
        <f>SUM(E433:E436)</f>
        <v>1120320</v>
      </c>
      <c r="F437" s="88"/>
      <c r="G437" s="92">
        <f>SUM(G433:G436)</f>
        <v>1162000</v>
      </c>
      <c r="H437" s="1"/>
      <c r="I437" s="1"/>
      <c r="J437" s="1"/>
      <c r="K437" s="1"/>
      <c r="L437" s="1"/>
    </row>
    <row r="438" spans="1:12" s="7" customFormat="1" ht="17.25">
      <c r="A438" s="16" t="s">
        <v>108</v>
      </c>
      <c r="B438" s="93">
        <f>B437</f>
        <v>501180</v>
      </c>
      <c r="C438" s="93">
        <f>C437</f>
        <v>916690</v>
      </c>
      <c r="D438" s="93">
        <f>D437</f>
        <v>992467</v>
      </c>
      <c r="E438" s="93">
        <f>E437</f>
        <v>1120320</v>
      </c>
      <c r="F438" s="73"/>
      <c r="G438" s="93">
        <f>G437</f>
        <v>1162000</v>
      </c>
      <c r="H438" s="1"/>
      <c r="I438" s="1"/>
      <c r="J438" s="1"/>
      <c r="K438" s="1"/>
      <c r="L438" s="1"/>
    </row>
    <row r="439" spans="1:12" s="7" customFormat="1" ht="17.25">
      <c r="A439" s="29" t="s">
        <v>33</v>
      </c>
      <c r="B439" s="66"/>
      <c r="C439" s="66"/>
      <c r="D439" s="66"/>
      <c r="E439" s="66"/>
      <c r="F439" s="166"/>
      <c r="G439" s="66"/>
      <c r="H439" s="1"/>
      <c r="I439" s="1"/>
      <c r="J439" s="1"/>
      <c r="K439" s="1"/>
      <c r="L439" s="1"/>
    </row>
    <row r="440" spans="1:12" ht="17.25">
      <c r="A440" s="30" t="s">
        <v>34</v>
      </c>
      <c r="B440" s="83"/>
      <c r="C440" s="83"/>
      <c r="D440" s="83"/>
      <c r="E440" s="83"/>
      <c r="F440" s="164"/>
      <c r="G440" s="83"/>
      <c r="H440" s="1"/>
      <c r="I440" s="1"/>
      <c r="J440" s="1"/>
      <c r="K440" s="1"/>
      <c r="L440" s="1"/>
    </row>
    <row r="441" spans="1:12" ht="17.25">
      <c r="A441" s="27" t="s">
        <v>301</v>
      </c>
      <c r="B441" s="200">
        <v>115770</v>
      </c>
      <c r="C441" s="200">
        <v>137375</v>
      </c>
      <c r="D441" s="200">
        <f>27940+48000</f>
        <v>75940</v>
      </c>
      <c r="E441" s="200">
        <v>20000</v>
      </c>
      <c r="F441" s="211">
        <v>0.25</v>
      </c>
      <c r="G441" s="200">
        <v>25000</v>
      </c>
      <c r="H441" s="1"/>
      <c r="I441" s="1"/>
      <c r="J441" s="1"/>
      <c r="K441" s="1"/>
      <c r="L441" s="1"/>
    </row>
    <row r="442" spans="1:12" ht="17.25">
      <c r="A442" s="24" t="s">
        <v>302</v>
      </c>
      <c r="B442" s="202"/>
      <c r="C442" s="202"/>
      <c r="D442" s="202"/>
      <c r="E442" s="202"/>
      <c r="F442" s="202"/>
      <c r="G442" s="202"/>
      <c r="H442" s="1"/>
      <c r="I442" s="1"/>
      <c r="J442" s="1"/>
      <c r="K442" s="1"/>
      <c r="L442" s="1"/>
    </row>
    <row r="443" spans="1:12" ht="17.25">
      <c r="A443" s="26" t="s">
        <v>109</v>
      </c>
      <c r="B443" s="83">
        <v>0</v>
      </c>
      <c r="C443" s="83">
        <v>0</v>
      </c>
      <c r="D443" s="83">
        <v>10000</v>
      </c>
      <c r="E443" s="83">
        <v>2000</v>
      </c>
      <c r="F443" s="174">
        <v>-0.5</v>
      </c>
      <c r="G443" s="83">
        <v>1000</v>
      </c>
      <c r="H443" s="1"/>
      <c r="I443" s="1"/>
      <c r="J443" s="1"/>
      <c r="K443" s="1"/>
      <c r="L443" s="1"/>
    </row>
    <row r="444" spans="1:12" ht="17.25">
      <c r="A444" s="32" t="s">
        <v>40</v>
      </c>
      <c r="B444" s="97">
        <f>SUM(B441:B443)</f>
        <v>115770</v>
      </c>
      <c r="C444" s="97">
        <f>SUM(C441:C443)</f>
        <v>137375</v>
      </c>
      <c r="D444" s="97">
        <f>SUM(D441:D443)</f>
        <v>85940</v>
      </c>
      <c r="E444" s="97">
        <f>SUM(E441:E443)</f>
        <v>22000</v>
      </c>
      <c r="F444" s="98"/>
      <c r="G444" s="97">
        <f>SUM(G441:G443)</f>
        <v>26000</v>
      </c>
      <c r="H444" s="1"/>
      <c r="I444" s="1"/>
      <c r="J444" s="1"/>
      <c r="K444" s="1"/>
      <c r="L444" s="1"/>
    </row>
    <row r="445" spans="1:12" ht="17.25">
      <c r="A445" s="23" t="s">
        <v>41</v>
      </c>
      <c r="B445" s="18"/>
      <c r="C445" s="18"/>
      <c r="D445" s="18"/>
      <c r="E445" s="18"/>
      <c r="F445" s="18"/>
      <c r="G445" s="18"/>
      <c r="H445" s="1"/>
      <c r="I445" s="1"/>
      <c r="J445" s="1"/>
      <c r="K445" s="1"/>
      <c r="L445" s="1"/>
    </row>
    <row r="446" spans="1:12" ht="17.25">
      <c r="A446" s="27" t="s">
        <v>42</v>
      </c>
      <c r="B446" s="83">
        <v>43000</v>
      </c>
      <c r="C446" s="83">
        <v>4764</v>
      </c>
      <c r="D446" s="83">
        <v>10000</v>
      </c>
      <c r="E446" s="83">
        <v>202000</v>
      </c>
      <c r="F446" s="174">
        <v>1</v>
      </c>
      <c r="G446" s="83">
        <v>204000</v>
      </c>
    </row>
    <row r="447" spans="1:12" ht="17.25">
      <c r="A447" s="27" t="s">
        <v>43</v>
      </c>
      <c r="B447" s="83">
        <v>0</v>
      </c>
      <c r="C447" s="83">
        <v>0</v>
      </c>
      <c r="D447" s="83">
        <v>0</v>
      </c>
      <c r="E447" s="83">
        <v>0</v>
      </c>
      <c r="F447" s="174">
        <v>1</v>
      </c>
      <c r="G447" s="83">
        <v>3000</v>
      </c>
    </row>
    <row r="448" spans="1:12" ht="17.25">
      <c r="A448" s="27" t="s">
        <v>44</v>
      </c>
      <c r="B448" s="200"/>
      <c r="C448" s="200"/>
      <c r="D448" s="200"/>
      <c r="E448" s="200"/>
      <c r="F448" s="200"/>
      <c r="G448" s="200"/>
    </row>
    <row r="449" spans="1:13" ht="17.25">
      <c r="A449" s="24" t="s">
        <v>308</v>
      </c>
      <c r="B449" s="202"/>
      <c r="C449" s="202"/>
      <c r="D449" s="202"/>
      <c r="E449" s="202"/>
      <c r="F449" s="202"/>
      <c r="G449" s="202"/>
    </row>
    <row r="450" spans="1:13" ht="17.25">
      <c r="A450" s="24" t="s">
        <v>46</v>
      </c>
      <c r="B450" s="66">
        <v>14500</v>
      </c>
      <c r="C450" s="66">
        <v>2050</v>
      </c>
      <c r="D450" s="66">
        <f>30000-20000</f>
        <v>10000</v>
      </c>
      <c r="E450" s="66">
        <v>0</v>
      </c>
      <c r="F450" s="105" t="s">
        <v>318</v>
      </c>
      <c r="G450" s="66">
        <v>0</v>
      </c>
    </row>
    <row r="451" spans="1:13" ht="17.25">
      <c r="A451" s="24" t="s">
        <v>46</v>
      </c>
      <c r="B451" s="66">
        <v>0</v>
      </c>
      <c r="C451" s="66">
        <v>0</v>
      </c>
      <c r="D451" s="66">
        <v>0</v>
      </c>
      <c r="E451" s="66">
        <v>30000</v>
      </c>
      <c r="F451" s="172">
        <v>1</v>
      </c>
      <c r="G451" s="66">
        <v>20000</v>
      </c>
    </row>
    <row r="452" spans="1:13" ht="17.25">
      <c r="A452" s="19" t="s">
        <v>135</v>
      </c>
      <c r="B452" s="65">
        <v>29939</v>
      </c>
      <c r="C452" s="65">
        <v>15455</v>
      </c>
      <c r="D452" s="65">
        <f>30000-10000</f>
        <v>20000</v>
      </c>
      <c r="E452" s="65">
        <v>30000</v>
      </c>
      <c r="F452" s="62">
        <v>-0.83330000000000004</v>
      </c>
      <c r="G452" s="65">
        <v>5000</v>
      </c>
    </row>
    <row r="453" spans="1:13" ht="17.25">
      <c r="A453" s="16" t="s">
        <v>50</v>
      </c>
      <c r="B453" s="92">
        <f>SUM(B446:B452)</f>
        <v>87439</v>
      </c>
      <c r="C453" s="92">
        <f>SUM(C446:C452)</f>
        <v>22269</v>
      </c>
      <c r="D453" s="92">
        <f>SUM(D446:D452)</f>
        <v>40000</v>
      </c>
      <c r="E453" s="92">
        <f>SUM(E446:E452)</f>
        <v>262000</v>
      </c>
      <c r="F453" s="88"/>
      <c r="G453" s="92">
        <f>SUM(G446:G452)</f>
        <v>232000</v>
      </c>
    </row>
    <row r="454" spans="1:13" s="7" customFormat="1" ht="17.25">
      <c r="A454" s="21" t="s">
        <v>51</v>
      </c>
      <c r="B454" s="65"/>
      <c r="C454" s="65"/>
      <c r="D454" s="65"/>
      <c r="E454" s="65"/>
      <c r="F454" s="176"/>
      <c r="G454" s="65"/>
      <c r="H454" s="1"/>
      <c r="I454" s="1"/>
      <c r="J454" s="1"/>
      <c r="K454" s="1"/>
      <c r="L454" s="1"/>
      <c r="M454" s="1"/>
    </row>
    <row r="455" spans="1:13" s="7" customFormat="1" ht="17.25">
      <c r="A455" s="22" t="s">
        <v>52</v>
      </c>
      <c r="B455" s="65">
        <v>206510</v>
      </c>
      <c r="C455" s="65">
        <v>21181</v>
      </c>
      <c r="D455" s="65">
        <f>30000-10000</f>
        <v>20000</v>
      </c>
      <c r="E455" s="65">
        <v>30000</v>
      </c>
      <c r="F455" s="127">
        <v>-0.33329999999999999</v>
      </c>
      <c r="G455" s="65">
        <v>20000</v>
      </c>
      <c r="H455" s="1"/>
      <c r="I455" s="1"/>
      <c r="J455" s="1"/>
      <c r="K455" s="1"/>
      <c r="L455" s="1"/>
      <c r="M455" s="1"/>
    </row>
    <row r="456" spans="1:13" s="7" customFormat="1" ht="17.25">
      <c r="A456" s="24" t="s">
        <v>56</v>
      </c>
      <c r="B456" s="66">
        <v>29000</v>
      </c>
      <c r="C456" s="66">
        <v>47015</v>
      </c>
      <c r="D456" s="66">
        <f>30000-10000</f>
        <v>20000</v>
      </c>
      <c r="E456" s="66">
        <v>35000</v>
      </c>
      <c r="F456" s="140">
        <v>-0.28570000000000001</v>
      </c>
      <c r="G456" s="66">
        <v>25000</v>
      </c>
      <c r="H456" s="1"/>
      <c r="I456" s="1"/>
      <c r="J456" s="1"/>
      <c r="K456" s="1"/>
      <c r="L456" s="1"/>
      <c r="M456" s="1"/>
    </row>
    <row r="457" spans="1:13" s="7" customFormat="1" ht="17.25">
      <c r="A457" s="24" t="s">
        <v>57</v>
      </c>
      <c r="B457" s="66">
        <v>0</v>
      </c>
      <c r="C457" s="66">
        <v>0</v>
      </c>
      <c r="D457" s="66">
        <v>0</v>
      </c>
      <c r="E457" s="66">
        <v>0</v>
      </c>
      <c r="F457" s="105">
        <v>1</v>
      </c>
      <c r="G457" s="66">
        <v>280000</v>
      </c>
      <c r="H457" s="1"/>
      <c r="I457" s="1"/>
      <c r="J457" s="1"/>
      <c r="K457" s="1"/>
      <c r="L457" s="1"/>
      <c r="M457" s="1"/>
    </row>
    <row r="458" spans="1:13" s="7" customFormat="1" ht="17.25">
      <c r="A458" s="27" t="s">
        <v>171</v>
      </c>
      <c r="B458" s="65">
        <v>129000</v>
      </c>
      <c r="C458" s="65">
        <v>7301</v>
      </c>
      <c r="D458" s="65">
        <f>20000-5000</f>
        <v>15000</v>
      </c>
      <c r="E458" s="65">
        <v>14820</v>
      </c>
      <c r="F458" s="127">
        <v>-0.66259999999999997</v>
      </c>
      <c r="G458" s="65">
        <v>5000</v>
      </c>
      <c r="H458" s="1"/>
      <c r="I458" s="1"/>
      <c r="J458" s="1"/>
      <c r="K458" s="1"/>
      <c r="L458" s="1"/>
      <c r="M458" s="1"/>
    </row>
    <row r="459" spans="1:13" s="7" customFormat="1" ht="17.25">
      <c r="A459" s="27" t="s">
        <v>490</v>
      </c>
      <c r="B459" s="66">
        <v>0</v>
      </c>
      <c r="C459" s="66">
        <v>0</v>
      </c>
      <c r="D459" s="66">
        <f>9200-2724</f>
        <v>6476</v>
      </c>
      <c r="E459" s="66">
        <v>0</v>
      </c>
      <c r="F459" s="105">
        <v>0</v>
      </c>
      <c r="G459" s="66">
        <v>0</v>
      </c>
      <c r="H459" s="1"/>
      <c r="I459" s="1"/>
      <c r="J459" s="1"/>
      <c r="K459" s="1"/>
      <c r="L459" s="1"/>
      <c r="M459" s="1"/>
    </row>
    <row r="460" spans="1:13" s="7" customFormat="1" ht="17.25">
      <c r="A460" s="22" t="s">
        <v>58</v>
      </c>
      <c r="B460" s="66">
        <v>0</v>
      </c>
      <c r="C460" s="66">
        <v>28160</v>
      </c>
      <c r="D460" s="66">
        <f>40000-10000</f>
        <v>30000</v>
      </c>
      <c r="E460" s="66">
        <v>40000</v>
      </c>
      <c r="F460" s="172">
        <v>-0.5</v>
      </c>
      <c r="G460" s="66">
        <v>20000</v>
      </c>
      <c r="H460" s="1"/>
      <c r="I460" s="1"/>
      <c r="J460" s="1"/>
      <c r="K460" s="1"/>
      <c r="L460" s="1"/>
      <c r="M460" s="1"/>
    </row>
    <row r="461" spans="1:13" s="7" customFormat="1" ht="17.25">
      <c r="A461" s="15" t="s">
        <v>60</v>
      </c>
      <c r="B461" s="93">
        <f>SUM(B455:B460)</f>
        <v>364510</v>
      </c>
      <c r="C461" s="93">
        <f>SUM(C455:C460)</f>
        <v>103657</v>
      </c>
      <c r="D461" s="93">
        <f>SUM(D455:D460)</f>
        <v>91476</v>
      </c>
      <c r="E461" s="93">
        <f>SUM(E455:E460)</f>
        <v>119820</v>
      </c>
      <c r="F461" s="73"/>
      <c r="G461" s="93">
        <f>SUM(G455:G460)</f>
        <v>350000</v>
      </c>
      <c r="H461" s="1"/>
      <c r="I461" s="1"/>
      <c r="J461" s="1"/>
      <c r="K461" s="1"/>
      <c r="L461" s="1"/>
      <c r="M461" s="1"/>
    </row>
    <row r="462" spans="1:13" s="7" customFormat="1" ht="17.25">
      <c r="A462" s="28" t="s">
        <v>68</v>
      </c>
      <c r="B462" s="93">
        <f>B444+B453+B461</f>
        <v>567719</v>
      </c>
      <c r="C462" s="93">
        <f>C444+C453+C461</f>
        <v>263301</v>
      </c>
      <c r="D462" s="93">
        <f>D444+D453+D461</f>
        <v>217416</v>
      </c>
      <c r="E462" s="93">
        <f>E444+E453+E461</f>
        <v>403820</v>
      </c>
      <c r="F462" s="73"/>
      <c r="G462" s="93">
        <f>G444+G453+G461</f>
        <v>608000</v>
      </c>
      <c r="H462" s="1"/>
      <c r="I462" s="1"/>
      <c r="J462" s="1"/>
      <c r="K462" s="1"/>
      <c r="L462" s="1"/>
      <c r="M462" s="1"/>
    </row>
    <row r="463" spans="1:13" s="7" customFormat="1" ht="17.25">
      <c r="A463" s="21" t="s">
        <v>69</v>
      </c>
      <c r="B463" s="66"/>
      <c r="C463" s="66"/>
      <c r="D463" s="66"/>
      <c r="E463" s="66"/>
      <c r="F463" s="166"/>
      <c r="G463" s="66"/>
      <c r="H463" s="1"/>
      <c r="I463" s="1"/>
      <c r="J463" s="1"/>
      <c r="K463" s="1"/>
      <c r="L463" s="1"/>
      <c r="M463" s="1"/>
    </row>
    <row r="464" spans="1:13" s="7" customFormat="1" ht="17.25">
      <c r="A464" s="21" t="s">
        <v>70</v>
      </c>
      <c r="B464" s="56"/>
      <c r="C464" s="56"/>
      <c r="D464" s="54"/>
      <c r="E464" s="54"/>
      <c r="F464" s="176"/>
      <c r="G464" s="54"/>
      <c r="H464" s="1"/>
      <c r="I464" s="1"/>
      <c r="J464" s="1"/>
      <c r="K464" s="1"/>
      <c r="L464" s="1"/>
      <c r="M464" s="1"/>
    </row>
    <row r="465" spans="1:13" s="7" customFormat="1" ht="17.25">
      <c r="A465" s="22" t="s">
        <v>116</v>
      </c>
      <c r="B465" s="83"/>
      <c r="C465" s="83"/>
      <c r="D465" s="83"/>
      <c r="E465" s="83"/>
      <c r="F465" s="164"/>
      <c r="G465" s="83"/>
      <c r="H465" s="1"/>
      <c r="I465" s="1"/>
      <c r="J465" s="1"/>
      <c r="K465" s="1"/>
      <c r="L465" s="1"/>
      <c r="M465" s="1"/>
    </row>
    <row r="466" spans="1:13" s="7" customFormat="1" ht="17.25">
      <c r="A466" s="24" t="s">
        <v>117</v>
      </c>
      <c r="B466" s="65">
        <v>0</v>
      </c>
      <c r="C466" s="65">
        <v>1500</v>
      </c>
      <c r="D466" s="65">
        <v>0</v>
      </c>
      <c r="E466" s="65">
        <v>0</v>
      </c>
      <c r="F466" s="75"/>
      <c r="G466" s="65">
        <v>0</v>
      </c>
      <c r="H466" s="1"/>
      <c r="I466" s="1"/>
      <c r="J466" s="1"/>
      <c r="K466" s="1"/>
      <c r="L466" s="1"/>
      <c r="M466" s="1"/>
    </row>
    <row r="467" spans="1:13" s="7" customFormat="1" ht="17.25">
      <c r="A467" s="22" t="s">
        <v>172</v>
      </c>
      <c r="B467" s="66">
        <v>0</v>
      </c>
      <c r="C467" s="66">
        <v>6000</v>
      </c>
      <c r="D467" s="66">
        <v>0</v>
      </c>
      <c r="E467" s="66">
        <v>0</v>
      </c>
      <c r="F467" s="175"/>
      <c r="G467" s="66">
        <v>0</v>
      </c>
      <c r="H467" s="1"/>
      <c r="I467" s="1"/>
      <c r="J467" s="1"/>
      <c r="K467" s="1"/>
      <c r="L467" s="1"/>
      <c r="M467" s="1"/>
    </row>
    <row r="468" spans="1:13" s="7" customFormat="1" ht="17.25">
      <c r="A468" s="24" t="s">
        <v>173</v>
      </c>
      <c r="B468" s="66">
        <v>0</v>
      </c>
      <c r="C468" s="66">
        <v>42000</v>
      </c>
      <c r="D468" s="66">
        <v>0</v>
      </c>
      <c r="E468" s="66">
        <v>0</v>
      </c>
      <c r="F468" s="105"/>
      <c r="G468" s="66">
        <v>0</v>
      </c>
      <c r="H468" s="1"/>
      <c r="I468" s="1"/>
      <c r="J468" s="1"/>
      <c r="K468" s="1"/>
      <c r="L468" s="1"/>
    </row>
    <row r="469" spans="1:13" s="7" customFormat="1" ht="17.25">
      <c r="A469" s="22" t="s">
        <v>174</v>
      </c>
      <c r="B469" s="56">
        <v>0</v>
      </c>
      <c r="C469" s="56">
        <v>0</v>
      </c>
      <c r="D469" s="56">
        <v>8000</v>
      </c>
      <c r="E469" s="56">
        <v>0</v>
      </c>
      <c r="F469" s="59">
        <v>0</v>
      </c>
      <c r="G469" s="56">
        <v>0</v>
      </c>
      <c r="H469" s="1"/>
      <c r="I469" s="1"/>
      <c r="J469" s="1"/>
      <c r="K469" s="1"/>
      <c r="L469" s="1"/>
    </row>
    <row r="470" spans="1:13" s="7" customFormat="1" ht="17.25">
      <c r="A470" s="22" t="s">
        <v>175</v>
      </c>
      <c r="B470" s="57">
        <v>0</v>
      </c>
      <c r="C470" s="57">
        <v>0</v>
      </c>
      <c r="D470" s="57">
        <v>8000</v>
      </c>
      <c r="E470" s="57">
        <v>0</v>
      </c>
      <c r="F470" s="171">
        <v>0</v>
      </c>
      <c r="G470" s="57">
        <v>0</v>
      </c>
      <c r="H470" s="1"/>
      <c r="I470" s="1"/>
      <c r="J470" s="1"/>
      <c r="K470" s="1"/>
      <c r="L470" s="1"/>
    </row>
    <row r="471" spans="1:13" s="7" customFormat="1" ht="17.25">
      <c r="A471" s="22" t="s">
        <v>176</v>
      </c>
      <c r="B471" s="65">
        <v>0</v>
      </c>
      <c r="C471" s="65">
        <v>0</v>
      </c>
      <c r="D471" s="65">
        <v>8000</v>
      </c>
      <c r="E471" s="65">
        <v>0</v>
      </c>
      <c r="F471" s="59">
        <v>0</v>
      </c>
      <c r="G471" s="65">
        <v>0</v>
      </c>
      <c r="H471" s="1"/>
      <c r="I471" s="1"/>
      <c r="J471" s="1"/>
      <c r="K471" s="1"/>
      <c r="L471" s="1"/>
    </row>
    <row r="472" spans="1:13" s="7" customFormat="1" ht="17.25">
      <c r="A472" s="24" t="s">
        <v>119</v>
      </c>
      <c r="B472" s="66"/>
      <c r="C472" s="66"/>
      <c r="D472" s="66"/>
      <c r="E472" s="66"/>
      <c r="F472" s="166"/>
      <c r="G472" s="66"/>
      <c r="H472" s="1"/>
      <c r="I472" s="1"/>
      <c r="J472" s="1"/>
      <c r="K472" s="1"/>
      <c r="L472" s="1"/>
    </row>
    <row r="473" spans="1:13" s="7" customFormat="1" ht="17.25">
      <c r="A473" s="22" t="s">
        <v>177</v>
      </c>
      <c r="B473" s="65">
        <v>45000</v>
      </c>
      <c r="C473" s="65">
        <v>45000</v>
      </c>
      <c r="D473" s="65">
        <v>0</v>
      </c>
      <c r="E473" s="65">
        <v>0</v>
      </c>
      <c r="F473" s="75">
        <v>0</v>
      </c>
      <c r="G473" s="65">
        <v>0</v>
      </c>
      <c r="H473" s="1"/>
      <c r="I473" s="1"/>
      <c r="J473" s="1"/>
      <c r="K473" s="1"/>
      <c r="L473" s="1"/>
    </row>
    <row r="474" spans="1:13" s="7" customFormat="1" ht="17.25">
      <c r="A474" s="24" t="s">
        <v>136</v>
      </c>
      <c r="B474" s="66"/>
      <c r="C474" s="66"/>
      <c r="D474" s="66"/>
      <c r="E474" s="66"/>
      <c r="F474" s="166"/>
      <c r="G474" s="66"/>
      <c r="H474" s="1"/>
      <c r="I474" s="1"/>
      <c r="J474" s="1"/>
      <c r="K474" s="1"/>
      <c r="L474" s="1"/>
    </row>
    <row r="475" spans="1:13" s="7" customFormat="1" ht="17.25">
      <c r="A475" s="22" t="s">
        <v>611</v>
      </c>
      <c r="B475" s="66">
        <v>0</v>
      </c>
      <c r="C475" s="66">
        <v>0</v>
      </c>
      <c r="D475" s="66">
        <v>0</v>
      </c>
      <c r="E475" s="66">
        <v>0</v>
      </c>
      <c r="F475" s="172">
        <v>1</v>
      </c>
      <c r="G475" s="66">
        <v>50500</v>
      </c>
      <c r="H475" s="1"/>
      <c r="I475" s="1"/>
      <c r="J475" s="1"/>
      <c r="K475" s="1"/>
      <c r="L475" s="1"/>
    </row>
    <row r="476" spans="1:13" s="7" customFormat="1" ht="17.25">
      <c r="A476" s="22" t="s">
        <v>491</v>
      </c>
      <c r="B476" s="65">
        <v>0</v>
      </c>
      <c r="C476" s="65">
        <v>0</v>
      </c>
      <c r="D476" s="65">
        <v>0</v>
      </c>
      <c r="E476" s="65">
        <v>1000000</v>
      </c>
      <c r="F476" s="119">
        <v>-1</v>
      </c>
      <c r="G476" s="65">
        <v>0</v>
      </c>
      <c r="H476" s="1"/>
      <c r="I476" s="1"/>
      <c r="J476" s="1"/>
      <c r="K476" s="1"/>
      <c r="L476" s="1"/>
    </row>
    <row r="477" spans="1:13" s="7" customFormat="1" ht="17.25">
      <c r="A477" s="26" t="s">
        <v>178</v>
      </c>
      <c r="B477" s="66">
        <v>0</v>
      </c>
      <c r="C477" s="66">
        <v>15200</v>
      </c>
      <c r="D477" s="66">
        <v>0</v>
      </c>
      <c r="E477" s="66">
        <v>0</v>
      </c>
      <c r="F477" s="175"/>
      <c r="G477" s="66">
        <v>0</v>
      </c>
      <c r="H477" s="1"/>
      <c r="I477" s="1"/>
      <c r="J477" s="1"/>
      <c r="K477" s="1"/>
      <c r="L477" s="1"/>
    </row>
    <row r="478" spans="1:13" ht="17.25">
      <c r="A478" s="27" t="s">
        <v>179</v>
      </c>
      <c r="B478" s="83"/>
      <c r="C478" s="83"/>
      <c r="D478" s="83"/>
      <c r="E478" s="83"/>
      <c r="F478" s="164"/>
      <c r="G478" s="83"/>
      <c r="H478" s="1"/>
      <c r="I478" s="1"/>
      <c r="J478" s="1"/>
      <c r="K478" s="1"/>
      <c r="L478" s="1"/>
    </row>
    <row r="479" spans="1:13" ht="17.25">
      <c r="A479" s="22" t="s">
        <v>180</v>
      </c>
      <c r="B479" s="65">
        <v>0</v>
      </c>
      <c r="C479" s="65">
        <v>3450</v>
      </c>
      <c r="D479" s="65">
        <v>0</v>
      </c>
      <c r="E479" s="65">
        <v>0</v>
      </c>
      <c r="F479" s="75"/>
      <c r="G479" s="65">
        <v>0</v>
      </c>
      <c r="H479" s="1"/>
      <c r="I479" s="1"/>
      <c r="J479" s="1"/>
      <c r="K479" s="1"/>
      <c r="L479" s="1"/>
    </row>
    <row r="480" spans="1:13" ht="17.25">
      <c r="A480" s="26" t="s">
        <v>127</v>
      </c>
      <c r="B480" s="66">
        <v>71360</v>
      </c>
      <c r="C480" s="66">
        <f>1145+7425</f>
        <v>8570</v>
      </c>
      <c r="D480" s="66">
        <v>3400</v>
      </c>
      <c r="E480" s="66">
        <v>30000</v>
      </c>
      <c r="F480" s="172">
        <v>1</v>
      </c>
      <c r="G480" s="66">
        <v>25000</v>
      </c>
      <c r="H480" s="1"/>
      <c r="I480" s="1"/>
      <c r="J480" s="1"/>
      <c r="K480" s="1"/>
      <c r="L480" s="1"/>
    </row>
    <row r="481" spans="1:13" ht="17.25">
      <c r="A481" s="32" t="s">
        <v>82</v>
      </c>
      <c r="B481" s="97">
        <f>B473+B480</f>
        <v>116360</v>
      </c>
      <c r="C481" s="97">
        <f>C466+C467+C468+C473+C477+C479+C480</f>
        <v>121720</v>
      </c>
      <c r="D481" s="97">
        <f>D469+D470+D471+D480</f>
        <v>27400</v>
      </c>
      <c r="E481" s="97">
        <f>E469+E470+E471+E480+E476</f>
        <v>1030000</v>
      </c>
      <c r="F481" s="98"/>
      <c r="G481" s="97">
        <f>G469+G470+G471+G480+G476+G475</f>
        <v>75500</v>
      </c>
      <c r="H481" s="1"/>
      <c r="I481" s="1"/>
      <c r="J481" s="1"/>
      <c r="K481" s="1"/>
      <c r="L481" s="1"/>
    </row>
    <row r="482" spans="1:13" ht="17.25">
      <c r="A482" s="16" t="s">
        <v>88</v>
      </c>
      <c r="B482" s="93">
        <f>B481</f>
        <v>116360</v>
      </c>
      <c r="C482" s="93">
        <f>C481</f>
        <v>121720</v>
      </c>
      <c r="D482" s="93">
        <f>D481</f>
        <v>27400</v>
      </c>
      <c r="E482" s="93">
        <f>E481</f>
        <v>1030000</v>
      </c>
      <c r="F482" s="73"/>
      <c r="G482" s="93">
        <f>G481</f>
        <v>75500</v>
      </c>
      <c r="H482" s="1"/>
      <c r="I482" s="1"/>
      <c r="J482" s="1"/>
      <c r="K482" s="1"/>
      <c r="L482" s="1"/>
    </row>
    <row r="483" spans="1:13" ht="17.25">
      <c r="A483" s="47"/>
      <c r="B483" s="125"/>
      <c r="C483" s="125"/>
      <c r="D483" s="125"/>
      <c r="E483" s="125"/>
      <c r="F483" s="126"/>
      <c r="G483" s="125"/>
      <c r="H483" s="1"/>
      <c r="I483" s="1"/>
      <c r="J483" s="1"/>
      <c r="K483" s="1"/>
      <c r="L483" s="1"/>
    </row>
    <row r="484" spans="1:13" ht="17.25">
      <c r="A484" s="23" t="s">
        <v>94</v>
      </c>
      <c r="B484" s="66"/>
      <c r="C484" s="66"/>
      <c r="D484" s="66"/>
      <c r="E484" s="66"/>
      <c r="F484" s="66"/>
      <c r="G484" s="66"/>
      <c r="H484" s="1"/>
      <c r="I484" s="1"/>
      <c r="J484" s="1"/>
      <c r="K484" s="1"/>
      <c r="L484" s="1"/>
    </row>
    <row r="485" spans="1:13" ht="17.25">
      <c r="A485" s="21" t="s">
        <v>95</v>
      </c>
      <c r="B485" s="17"/>
      <c r="C485" s="17"/>
      <c r="D485" s="17"/>
      <c r="E485" s="17"/>
      <c r="F485" s="17"/>
      <c r="G485" s="17"/>
    </row>
    <row r="486" spans="1:13" ht="17.25">
      <c r="A486" s="24" t="s">
        <v>181</v>
      </c>
      <c r="B486" s="65">
        <v>138890</v>
      </c>
      <c r="C486" s="65">
        <v>127500</v>
      </c>
      <c r="D486" s="65">
        <v>0</v>
      </c>
      <c r="E486" s="65">
        <v>0</v>
      </c>
      <c r="F486" s="75"/>
      <c r="G486" s="65">
        <v>0</v>
      </c>
    </row>
    <row r="487" spans="1:13" ht="17.25">
      <c r="A487" s="16" t="s">
        <v>98</v>
      </c>
      <c r="B487" s="92">
        <f>B486</f>
        <v>138890</v>
      </c>
      <c r="C487" s="92">
        <v>127500</v>
      </c>
      <c r="D487" s="92">
        <v>0</v>
      </c>
      <c r="E487" s="92">
        <v>0</v>
      </c>
      <c r="F487" s="88"/>
      <c r="G487" s="92">
        <v>0</v>
      </c>
    </row>
    <row r="488" spans="1:13" ht="17.25">
      <c r="A488" s="16" t="s">
        <v>99</v>
      </c>
      <c r="B488" s="93">
        <f>B487</f>
        <v>138890</v>
      </c>
      <c r="C488" s="93">
        <v>127500</v>
      </c>
      <c r="D488" s="93">
        <v>0</v>
      </c>
      <c r="E488" s="93">
        <v>0</v>
      </c>
      <c r="F488" s="73"/>
      <c r="G488" s="93">
        <v>0</v>
      </c>
    </row>
    <row r="489" spans="1:13" ht="17.25">
      <c r="A489" s="16" t="s">
        <v>182</v>
      </c>
      <c r="B489" s="92">
        <f>B438+B488+B482+B462</f>
        <v>1324149</v>
      </c>
      <c r="C489" s="92">
        <f>C438+C488+C482+C462</f>
        <v>1429211</v>
      </c>
      <c r="D489" s="92">
        <f>D438+D488+D482+D462</f>
        <v>1237283</v>
      </c>
      <c r="E489" s="92">
        <f>E438+E488+E482+E462</f>
        <v>2554140</v>
      </c>
      <c r="F489" s="88"/>
      <c r="G489" s="92">
        <f>G438+G488+G482+G462</f>
        <v>1845500</v>
      </c>
    </row>
    <row r="490" spans="1:13" s="7" customFormat="1" ht="17.25">
      <c r="A490" s="21" t="s">
        <v>183</v>
      </c>
      <c r="B490" s="65"/>
      <c r="C490" s="65"/>
      <c r="D490" s="65"/>
      <c r="E490" s="65"/>
      <c r="F490" s="176"/>
      <c r="G490" s="65"/>
      <c r="H490" s="1"/>
      <c r="I490" s="1"/>
      <c r="J490" s="1"/>
      <c r="K490" s="1"/>
      <c r="L490" s="1"/>
      <c r="M490" s="1"/>
    </row>
    <row r="491" spans="1:13" s="7" customFormat="1" ht="17.25">
      <c r="A491" s="21" t="s">
        <v>33</v>
      </c>
      <c r="B491" s="65"/>
      <c r="C491" s="65"/>
      <c r="D491" s="65"/>
      <c r="E491" s="65"/>
      <c r="F491" s="176"/>
      <c r="G491" s="65"/>
      <c r="H491" s="1"/>
      <c r="I491" s="1"/>
      <c r="J491" s="1"/>
      <c r="K491" s="1"/>
      <c r="L491" s="1"/>
      <c r="M491" s="1"/>
    </row>
    <row r="492" spans="1:13" s="7" customFormat="1" ht="17.25">
      <c r="A492" s="29" t="s">
        <v>41</v>
      </c>
      <c r="B492" s="66"/>
      <c r="C492" s="66"/>
      <c r="D492" s="66"/>
      <c r="E492" s="66"/>
      <c r="F492" s="166"/>
      <c r="G492" s="66"/>
      <c r="H492" s="1"/>
      <c r="I492" s="1"/>
      <c r="J492" s="1"/>
      <c r="K492" s="1"/>
      <c r="L492" s="1"/>
      <c r="M492" s="1"/>
    </row>
    <row r="493" spans="1:13" s="7" customFormat="1" ht="17.25">
      <c r="A493" s="27" t="s">
        <v>44</v>
      </c>
      <c r="B493" s="200"/>
      <c r="C493" s="200"/>
      <c r="D493" s="200"/>
      <c r="E493" s="200"/>
      <c r="F493" s="200"/>
      <c r="G493" s="200"/>
      <c r="H493" s="1"/>
      <c r="I493" s="1"/>
      <c r="J493" s="1"/>
      <c r="K493" s="1"/>
      <c r="L493" s="1"/>
      <c r="M493" s="1"/>
    </row>
    <row r="494" spans="1:13" s="7" customFormat="1" ht="17.25">
      <c r="A494" s="24" t="s">
        <v>308</v>
      </c>
      <c r="B494" s="202"/>
      <c r="C494" s="202"/>
      <c r="D494" s="202"/>
      <c r="E494" s="202"/>
      <c r="F494" s="202"/>
      <c r="G494" s="202"/>
      <c r="H494" s="1"/>
      <c r="I494" s="1"/>
      <c r="J494" s="1"/>
      <c r="K494" s="1"/>
      <c r="L494" s="1"/>
      <c r="M494" s="1"/>
    </row>
    <row r="495" spans="1:13" s="7" customFormat="1" ht="17.25">
      <c r="A495" s="26" t="s">
        <v>184</v>
      </c>
      <c r="B495" s="66">
        <v>0</v>
      </c>
      <c r="C495" s="66">
        <v>0</v>
      </c>
      <c r="D495" s="66">
        <v>0</v>
      </c>
      <c r="E495" s="66">
        <v>0</v>
      </c>
      <c r="F495" s="175"/>
      <c r="G495" s="66">
        <v>0</v>
      </c>
      <c r="H495" s="1"/>
      <c r="I495" s="1"/>
      <c r="J495" s="1"/>
      <c r="K495" s="1"/>
      <c r="L495" s="1"/>
      <c r="M495" s="1"/>
    </row>
    <row r="496" spans="1:13" s="7" customFormat="1" ht="17.25">
      <c r="A496" s="27" t="s">
        <v>333</v>
      </c>
      <c r="B496" s="200">
        <v>0</v>
      </c>
      <c r="C496" s="200">
        <v>0</v>
      </c>
      <c r="D496" s="200">
        <v>0</v>
      </c>
      <c r="E496" s="200">
        <v>0</v>
      </c>
      <c r="F496" s="211">
        <v>0</v>
      </c>
      <c r="G496" s="200">
        <v>0</v>
      </c>
      <c r="H496" s="1"/>
      <c r="I496" s="1"/>
      <c r="J496" s="1"/>
      <c r="K496" s="1"/>
      <c r="L496" s="1"/>
      <c r="M496" s="1"/>
    </row>
    <row r="497" spans="1:13" s="7" customFormat="1" ht="17.25">
      <c r="A497" s="104" t="s">
        <v>334</v>
      </c>
      <c r="B497" s="202"/>
      <c r="C497" s="202"/>
      <c r="D497" s="202"/>
      <c r="E497" s="202"/>
      <c r="F497" s="202"/>
      <c r="G497" s="202"/>
      <c r="H497" s="1"/>
      <c r="I497" s="1"/>
      <c r="J497" s="1"/>
      <c r="K497" s="1"/>
      <c r="L497" s="1"/>
      <c r="M497" s="1"/>
    </row>
    <row r="498" spans="1:13" s="7" customFormat="1" ht="17.25">
      <c r="A498" s="27" t="s">
        <v>331</v>
      </c>
      <c r="B498" s="200">
        <v>79041</v>
      </c>
      <c r="C498" s="200">
        <v>95289.5</v>
      </c>
      <c r="D498" s="200">
        <v>0</v>
      </c>
      <c r="E498" s="200">
        <v>0</v>
      </c>
      <c r="F498" s="207"/>
      <c r="G498" s="200">
        <v>0</v>
      </c>
      <c r="H498" s="1"/>
      <c r="I498" s="1"/>
      <c r="J498" s="1"/>
      <c r="K498" s="1"/>
      <c r="L498" s="1"/>
      <c r="M498" s="1"/>
    </row>
    <row r="499" spans="1:13" s="7" customFormat="1" ht="17.25">
      <c r="A499" s="24" t="s">
        <v>332</v>
      </c>
      <c r="B499" s="202"/>
      <c r="C499" s="202"/>
      <c r="D499" s="202"/>
      <c r="E499" s="202"/>
      <c r="F499" s="202"/>
      <c r="G499" s="202"/>
      <c r="H499" s="1"/>
      <c r="I499" s="1"/>
      <c r="J499" s="1"/>
      <c r="K499" s="1"/>
      <c r="L499" s="1"/>
      <c r="M499" s="1"/>
    </row>
    <row r="500" spans="1:13" s="7" customFormat="1" ht="17.25">
      <c r="A500" s="24" t="s">
        <v>185</v>
      </c>
      <c r="B500" s="83">
        <v>0</v>
      </c>
      <c r="C500" s="83">
        <v>0</v>
      </c>
      <c r="D500" s="83">
        <v>0</v>
      </c>
      <c r="E500" s="83">
        <v>0</v>
      </c>
      <c r="F500" s="168"/>
      <c r="G500" s="83">
        <v>0</v>
      </c>
      <c r="H500" s="1"/>
      <c r="I500" s="1"/>
      <c r="J500" s="1"/>
      <c r="K500" s="1"/>
      <c r="L500" s="1"/>
      <c r="M500" s="1"/>
    </row>
    <row r="501" spans="1:13" s="7" customFormat="1" ht="17.25">
      <c r="A501" s="26" t="s">
        <v>186</v>
      </c>
      <c r="B501" s="83">
        <v>0</v>
      </c>
      <c r="C501" s="83">
        <v>0</v>
      </c>
      <c r="D501" s="83">
        <v>0</v>
      </c>
      <c r="E501" s="83">
        <v>0</v>
      </c>
      <c r="F501" s="168"/>
      <c r="G501" s="83">
        <v>0</v>
      </c>
      <c r="H501" s="1"/>
      <c r="I501" s="1"/>
      <c r="J501" s="1"/>
      <c r="K501" s="1"/>
      <c r="L501" s="1"/>
      <c r="M501" s="1"/>
    </row>
    <row r="502" spans="1:13" s="7" customFormat="1" ht="17.25">
      <c r="A502" s="27" t="s">
        <v>492</v>
      </c>
      <c r="B502" s="200">
        <v>0</v>
      </c>
      <c r="C502" s="200">
        <v>0</v>
      </c>
      <c r="D502" s="200">
        <v>0</v>
      </c>
      <c r="E502" s="200">
        <v>30000</v>
      </c>
      <c r="F502" s="211">
        <v>-1</v>
      </c>
      <c r="G502" s="200">
        <v>0</v>
      </c>
      <c r="H502" s="1"/>
      <c r="I502" s="1"/>
      <c r="J502" s="1"/>
      <c r="K502" s="1"/>
      <c r="L502" s="1"/>
      <c r="M502" s="1"/>
    </row>
    <row r="503" spans="1:13" s="7" customFormat="1" ht="17.25">
      <c r="A503" s="24" t="s">
        <v>386</v>
      </c>
      <c r="B503" s="202"/>
      <c r="C503" s="202"/>
      <c r="D503" s="202"/>
      <c r="E503" s="202"/>
      <c r="F503" s="202"/>
      <c r="G503" s="202"/>
      <c r="H503" s="1"/>
      <c r="I503" s="1"/>
      <c r="J503" s="1"/>
      <c r="K503" s="1"/>
      <c r="L503" s="1"/>
      <c r="M503" s="1"/>
    </row>
    <row r="504" spans="1:13" s="7" customFormat="1" ht="17.25">
      <c r="A504" s="22" t="s">
        <v>493</v>
      </c>
      <c r="B504" s="65">
        <v>0</v>
      </c>
      <c r="C504" s="65">
        <v>0</v>
      </c>
      <c r="D504" s="65">
        <v>0</v>
      </c>
      <c r="E504" s="65">
        <v>0</v>
      </c>
      <c r="F504" s="141">
        <v>0</v>
      </c>
      <c r="G504" s="65">
        <v>0</v>
      </c>
      <c r="H504" s="1"/>
      <c r="I504" s="1"/>
      <c r="J504" s="1"/>
      <c r="K504" s="1"/>
      <c r="L504" s="1"/>
      <c r="M504" s="1"/>
    </row>
    <row r="505" spans="1:13" s="7" customFormat="1" ht="17.25">
      <c r="A505" s="142" t="s">
        <v>494</v>
      </c>
      <c r="B505" s="65">
        <v>0</v>
      </c>
      <c r="C505" s="65">
        <v>0</v>
      </c>
      <c r="D505" s="65">
        <v>0</v>
      </c>
      <c r="E505" s="65">
        <v>10000</v>
      </c>
      <c r="F505" s="141">
        <v>-1</v>
      </c>
      <c r="G505" s="65">
        <v>0</v>
      </c>
      <c r="H505" s="1"/>
      <c r="I505" s="1"/>
      <c r="J505" s="1"/>
      <c r="K505" s="1"/>
      <c r="L505" s="1"/>
      <c r="M505" s="1"/>
    </row>
    <row r="506" spans="1:13" s="7" customFormat="1" ht="17.25">
      <c r="A506" s="142" t="s">
        <v>495</v>
      </c>
      <c r="B506" s="65">
        <v>0</v>
      </c>
      <c r="C506" s="65">
        <v>0</v>
      </c>
      <c r="D506" s="65">
        <v>0</v>
      </c>
      <c r="E506" s="65">
        <v>28000</v>
      </c>
      <c r="F506" s="141">
        <v>1</v>
      </c>
      <c r="G506" s="65">
        <v>25000</v>
      </c>
      <c r="H506" s="1"/>
      <c r="I506" s="1"/>
      <c r="J506" s="1"/>
      <c r="K506" s="1"/>
      <c r="L506" s="1"/>
      <c r="M506" s="1"/>
    </row>
    <row r="507" spans="1:13" s="34" customFormat="1" ht="17.25">
      <c r="A507" s="142" t="s">
        <v>496</v>
      </c>
      <c r="B507" s="88">
        <v>0</v>
      </c>
      <c r="C507" s="88">
        <v>0</v>
      </c>
      <c r="D507" s="145">
        <v>0</v>
      </c>
      <c r="E507" s="177">
        <v>38000</v>
      </c>
      <c r="F507" s="146">
        <v>-1</v>
      </c>
      <c r="G507" s="177">
        <v>0</v>
      </c>
      <c r="H507" s="33"/>
      <c r="I507" s="33"/>
      <c r="J507" s="33"/>
      <c r="K507" s="33"/>
      <c r="L507" s="33"/>
      <c r="M507" s="33"/>
    </row>
    <row r="508" spans="1:13" s="7" customFormat="1" ht="17.25">
      <c r="A508" s="22" t="s">
        <v>187</v>
      </c>
      <c r="B508" s="66">
        <v>0</v>
      </c>
      <c r="C508" s="66">
        <v>0</v>
      </c>
      <c r="D508" s="66">
        <v>0</v>
      </c>
      <c r="E508" s="66">
        <v>0</v>
      </c>
      <c r="F508" s="175"/>
      <c r="G508" s="66">
        <v>0</v>
      </c>
      <c r="H508" s="1"/>
      <c r="I508" s="1"/>
      <c r="J508" s="1"/>
      <c r="K508" s="1"/>
      <c r="L508" s="1"/>
      <c r="M508" s="1"/>
    </row>
    <row r="509" spans="1:13" s="7" customFormat="1" ht="17.25">
      <c r="A509" s="24" t="s">
        <v>188</v>
      </c>
      <c r="B509" s="66">
        <v>0</v>
      </c>
      <c r="C509" s="66">
        <v>0</v>
      </c>
      <c r="D509" s="66">
        <v>0</v>
      </c>
      <c r="E509" s="66">
        <v>0</v>
      </c>
      <c r="F509" s="175"/>
      <c r="G509" s="66">
        <v>0</v>
      </c>
      <c r="H509" s="1"/>
      <c r="I509" s="1"/>
      <c r="J509" s="1"/>
      <c r="K509" s="1"/>
      <c r="L509" s="1"/>
    </row>
    <row r="510" spans="1:13" s="7" customFormat="1" ht="17.25">
      <c r="A510" s="27" t="s">
        <v>189</v>
      </c>
      <c r="B510" s="56">
        <v>0</v>
      </c>
      <c r="C510" s="56">
        <v>0</v>
      </c>
      <c r="D510" s="56">
        <v>0</v>
      </c>
      <c r="E510" s="56">
        <v>0</v>
      </c>
      <c r="F510" s="75"/>
      <c r="G510" s="56">
        <v>0</v>
      </c>
      <c r="H510" s="1"/>
      <c r="I510" s="1"/>
      <c r="J510" s="1"/>
      <c r="K510" s="1"/>
      <c r="L510" s="1"/>
    </row>
    <row r="511" spans="1:13" s="7" customFormat="1" ht="17.25">
      <c r="A511" s="27" t="s">
        <v>335</v>
      </c>
      <c r="B511" s="200">
        <v>0</v>
      </c>
      <c r="C511" s="200">
        <v>0</v>
      </c>
      <c r="D511" s="200">
        <v>0</v>
      </c>
      <c r="E511" s="200">
        <v>0</v>
      </c>
      <c r="F511" s="207"/>
      <c r="G511" s="200">
        <v>0</v>
      </c>
      <c r="H511" s="1"/>
      <c r="I511" s="1"/>
      <c r="J511" s="1"/>
      <c r="K511" s="1"/>
      <c r="L511" s="1"/>
    </row>
    <row r="512" spans="1:13" s="7" customFormat="1" ht="17.25">
      <c r="A512" s="26" t="s">
        <v>336</v>
      </c>
      <c r="B512" s="202"/>
      <c r="C512" s="202"/>
      <c r="D512" s="202"/>
      <c r="E512" s="202"/>
      <c r="F512" s="202"/>
      <c r="G512" s="202"/>
      <c r="H512" s="1"/>
      <c r="I512" s="1"/>
      <c r="J512" s="1"/>
      <c r="K512" s="1"/>
      <c r="L512" s="1"/>
    </row>
    <row r="513" spans="1:12" s="7" customFormat="1" ht="17.25">
      <c r="A513" s="27" t="s">
        <v>338</v>
      </c>
      <c r="B513" s="200">
        <v>0</v>
      </c>
      <c r="C513" s="200">
        <v>0</v>
      </c>
      <c r="D513" s="200">
        <v>0</v>
      </c>
      <c r="E513" s="200">
        <v>0</v>
      </c>
      <c r="F513" s="207"/>
      <c r="G513" s="200">
        <v>0</v>
      </c>
      <c r="H513" s="1"/>
      <c r="I513" s="1"/>
      <c r="J513" s="1"/>
      <c r="K513" s="1"/>
      <c r="L513" s="1"/>
    </row>
    <row r="514" spans="1:12" s="7" customFormat="1" ht="17.25">
      <c r="A514" s="24" t="s">
        <v>339</v>
      </c>
      <c r="B514" s="202"/>
      <c r="C514" s="202"/>
      <c r="D514" s="202"/>
      <c r="E514" s="202"/>
      <c r="F514" s="202"/>
      <c r="G514" s="202"/>
      <c r="H514" s="1"/>
      <c r="I514" s="1"/>
      <c r="J514" s="1"/>
      <c r="K514" s="1"/>
      <c r="L514" s="1"/>
    </row>
    <row r="515" spans="1:12" s="7" customFormat="1" ht="17.25">
      <c r="A515" s="26" t="s">
        <v>190</v>
      </c>
      <c r="B515" s="66">
        <v>0</v>
      </c>
      <c r="C515" s="66">
        <v>0</v>
      </c>
      <c r="D515" s="66">
        <v>0</v>
      </c>
      <c r="E515" s="66">
        <v>0</v>
      </c>
      <c r="F515" s="175"/>
      <c r="G515" s="66">
        <v>0</v>
      </c>
      <c r="H515" s="1"/>
      <c r="I515" s="1"/>
      <c r="J515" s="1"/>
      <c r="K515" s="1"/>
      <c r="L515" s="1"/>
    </row>
    <row r="516" spans="1:12" s="7" customFormat="1" ht="17.25">
      <c r="A516" s="148" t="s">
        <v>503</v>
      </c>
      <c r="B516" s="164">
        <v>0</v>
      </c>
      <c r="C516" s="164">
        <v>0</v>
      </c>
      <c r="D516" s="164">
        <v>800</v>
      </c>
      <c r="E516" s="164">
        <v>0</v>
      </c>
      <c r="F516" s="167">
        <v>-1</v>
      </c>
      <c r="G516" s="164">
        <v>0</v>
      </c>
      <c r="H516" s="1"/>
      <c r="I516" s="1"/>
      <c r="J516" s="1"/>
      <c r="K516" s="1"/>
      <c r="L516" s="1"/>
    </row>
    <row r="517" spans="1:12" s="7" customFormat="1" ht="17.25">
      <c r="A517" s="27" t="s">
        <v>337</v>
      </c>
      <c r="B517" s="200">
        <v>0</v>
      </c>
      <c r="C517" s="200">
        <v>0</v>
      </c>
      <c r="D517" s="200">
        <f>10000-5000</f>
        <v>5000</v>
      </c>
      <c r="E517" s="200">
        <v>0</v>
      </c>
      <c r="F517" s="203">
        <v>-1</v>
      </c>
      <c r="G517" s="200">
        <v>8000</v>
      </c>
      <c r="H517" s="1"/>
      <c r="I517" s="1"/>
      <c r="J517" s="1"/>
      <c r="K517" s="1"/>
      <c r="L517" s="1"/>
    </row>
    <row r="518" spans="1:12" ht="17.25">
      <c r="A518" s="147" t="s">
        <v>497</v>
      </c>
      <c r="B518" s="201"/>
      <c r="C518" s="201"/>
      <c r="D518" s="201"/>
      <c r="E518" s="201"/>
      <c r="F518" s="201"/>
      <c r="G518" s="201"/>
      <c r="H518" s="1"/>
      <c r="I518" s="1"/>
      <c r="J518" s="1"/>
      <c r="K518" s="1"/>
      <c r="L518" s="1"/>
    </row>
    <row r="519" spans="1:12" ht="17.25">
      <c r="A519" s="22" t="s">
        <v>191</v>
      </c>
      <c r="B519" s="65">
        <v>0</v>
      </c>
      <c r="C519" s="65">
        <v>0</v>
      </c>
      <c r="D519" s="65">
        <f>20000-5000</f>
        <v>15000</v>
      </c>
      <c r="E519" s="65">
        <v>0</v>
      </c>
      <c r="F519" s="59">
        <v>-1</v>
      </c>
      <c r="G519" s="65">
        <v>0</v>
      </c>
      <c r="H519" s="1"/>
      <c r="I519" s="1"/>
      <c r="J519" s="1"/>
      <c r="K519" s="1"/>
      <c r="L519" s="1"/>
    </row>
    <row r="520" spans="1:12" ht="17.25">
      <c r="A520" s="22" t="s">
        <v>498</v>
      </c>
      <c r="B520" s="164">
        <v>0</v>
      </c>
      <c r="C520" s="164">
        <v>0</v>
      </c>
      <c r="D520" s="164">
        <f>30000-5000</f>
        <v>25000</v>
      </c>
      <c r="E520" s="164">
        <v>0</v>
      </c>
      <c r="F520" s="167">
        <v>-1</v>
      </c>
      <c r="G520" s="164">
        <v>25000</v>
      </c>
      <c r="H520" s="1"/>
      <c r="I520" s="1"/>
      <c r="J520" s="1"/>
      <c r="K520" s="1"/>
      <c r="L520" s="1"/>
    </row>
    <row r="521" spans="1:12" ht="17.25">
      <c r="A521" s="24" t="s">
        <v>192</v>
      </c>
      <c r="B521" s="83">
        <v>0</v>
      </c>
      <c r="C521" s="83">
        <v>0</v>
      </c>
      <c r="D521" s="83">
        <f>20000-5000</f>
        <v>15000</v>
      </c>
      <c r="E521" s="83">
        <v>0</v>
      </c>
      <c r="F521" s="167">
        <v>-1</v>
      </c>
      <c r="G521" s="83">
        <v>0</v>
      </c>
      <c r="H521" s="1"/>
      <c r="I521" s="1"/>
      <c r="J521" s="1"/>
      <c r="K521" s="1"/>
      <c r="L521" s="1"/>
    </row>
    <row r="522" spans="1:12" ht="17.25">
      <c r="A522" s="27" t="s">
        <v>193</v>
      </c>
      <c r="B522" s="65">
        <v>0</v>
      </c>
      <c r="C522" s="65">
        <v>0</v>
      </c>
      <c r="D522" s="65">
        <f>27010-3545</f>
        <v>23465</v>
      </c>
      <c r="E522" s="65">
        <v>0</v>
      </c>
      <c r="F522" s="59">
        <v>-1</v>
      </c>
      <c r="G522" s="65">
        <v>0</v>
      </c>
      <c r="H522" s="1"/>
      <c r="I522" s="1"/>
      <c r="J522" s="1"/>
      <c r="K522" s="1"/>
      <c r="L522" s="1"/>
    </row>
    <row r="523" spans="1:12" ht="17.25">
      <c r="A523" s="27" t="s">
        <v>335</v>
      </c>
      <c r="B523" s="200">
        <v>0</v>
      </c>
      <c r="C523" s="200">
        <v>0</v>
      </c>
      <c r="D523" s="200">
        <f>30000-10000</f>
        <v>20000</v>
      </c>
      <c r="E523" s="200">
        <v>0</v>
      </c>
      <c r="F523" s="203">
        <v>-1</v>
      </c>
      <c r="G523" s="200">
        <v>20000</v>
      </c>
      <c r="H523" s="1"/>
      <c r="I523" s="1"/>
      <c r="J523" s="1"/>
      <c r="K523" s="1"/>
      <c r="L523" s="1"/>
    </row>
    <row r="524" spans="1:12" ht="17.25">
      <c r="A524" s="24" t="s">
        <v>336</v>
      </c>
      <c r="B524" s="202"/>
      <c r="C524" s="202"/>
      <c r="D524" s="202"/>
      <c r="E524" s="202"/>
      <c r="F524" s="202"/>
      <c r="G524" s="202"/>
      <c r="H524" s="1"/>
      <c r="I524" s="1"/>
      <c r="J524" s="1"/>
      <c r="K524" s="1"/>
      <c r="L524" s="1"/>
    </row>
    <row r="525" spans="1:12" ht="17.25">
      <c r="A525" s="26" t="s">
        <v>194</v>
      </c>
      <c r="B525" s="83">
        <v>0</v>
      </c>
      <c r="C525" s="83">
        <v>0</v>
      </c>
      <c r="D525" s="83">
        <f>50000-5000</f>
        <v>45000</v>
      </c>
      <c r="E525" s="83">
        <v>0</v>
      </c>
      <c r="F525" s="167">
        <v>-1</v>
      </c>
      <c r="G525" s="83">
        <v>45000</v>
      </c>
    </row>
    <row r="526" spans="1:12" ht="17.25">
      <c r="A526" s="22" t="s">
        <v>612</v>
      </c>
      <c r="B526" s="83">
        <v>0</v>
      </c>
      <c r="C526" s="83">
        <v>0</v>
      </c>
      <c r="D526" s="83">
        <v>0</v>
      </c>
      <c r="E526" s="83">
        <v>0</v>
      </c>
      <c r="F526" s="167">
        <v>1</v>
      </c>
      <c r="G526" s="83">
        <v>10000</v>
      </c>
    </row>
    <row r="527" spans="1:12" ht="17.25">
      <c r="A527" s="22" t="s">
        <v>613</v>
      </c>
      <c r="B527" s="83">
        <v>0</v>
      </c>
      <c r="C527" s="83">
        <v>0</v>
      </c>
      <c r="D527" s="83">
        <v>0</v>
      </c>
      <c r="E527" s="83">
        <v>0</v>
      </c>
      <c r="F527" s="167">
        <v>1</v>
      </c>
      <c r="G527" s="83">
        <v>10000</v>
      </c>
    </row>
    <row r="528" spans="1:12" ht="17.25">
      <c r="A528" s="27" t="s">
        <v>502</v>
      </c>
      <c r="B528" s="164">
        <v>0</v>
      </c>
      <c r="C528" s="164">
        <v>0</v>
      </c>
      <c r="D528" s="164">
        <f>10000-5000</f>
        <v>5000</v>
      </c>
      <c r="E528" s="164">
        <v>0</v>
      </c>
      <c r="F528" s="167">
        <v>-1</v>
      </c>
      <c r="G528" s="164">
        <v>0</v>
      </c>
    </row>
    <row r="529" spans="1:13" ht="17.25">
      <c r="A529" s="27" t="s">
        <v>499</v>
      </c>
      <c r="B529" s="215">
        <v>0</v>
      </c>
      <c r="C529" s="200">
        <v>0</v>
      </c>
      <c r="D529" s="200">
        <f>32990-5000</f>
        <v>27990</v>
      </c>
      <c r="E529" s="200">
        <v>31080</v>
      </c>
      <c r="F529" s="203">
        <v>1</v>
      </c>
      <c r="G529" s="200">
        <v>58000</v>
      </c>
    </row>
    <row r="530" spans="1:13" ht="17.25">
      <c r="A530" s="26" t="s">
        <v>500</v>
      </c>
      <c r="B530" s="210"/>
      <c r="C530" s="201"/>
      <c r="D530" s="201"/>
      <c r="E530" s="201"/>
      <c r="F530" s="201"/>
      <c r="G530" s="201"/>
    </row>
    <row r="531" spans="1:13" ht="17.25">
      <c r="A531" s="24" t="s">
        <v>501</v>
      </c>
      <c r="B531" s="216"/>
      <c r="C531" s="202"/>
      <c r="D531" s="202"/>
      <c r="E531" s="202"/>
      <c r="F531" s="202"/>
      <c r="G531" s="202"/>
    </row>
    <row r="532" spans="1:13" ht="17.25">
      <c r="A532" s="37" t="s">
        <v>50</v>
      </c>
      <c r="B532" s="102">
        <f>B498</f>
        <v>79041</v>
      </c>
      <c r="C532" s="102">
        <f>C495+C496+C497+C498+C499+C500+C501+C508+C509+C510+C511+C512+C513+C514+C515</f>
        <v>95289.5</v>
      </c>
      <c r="D532" s="102">
        <f>D516+D517+D518+D519+D520+D521+D522+D523+D524+D525+D528+D529+D530+D531</f>
        <v>182255</v>
      </c>
      <c r="E532" s="102">
        <f>E502+E505+E506+E507+E529</f>
        <v>137080</v>
      </c>
      <c r="F532" s="101"/>
      <c r="G532" s="102">
        <f>G506+G518+G520+G523+G524+G525+G526+G527+G529+G530+G531+G517</f>
        <v>201000</v>
      </c>
    </row>
    <row r="533" spans="1:13" ht="17.25">
      <c r="A533" s="47"/>
      <c r="B533" s="125"/>
      <c r="C533" s="125"/>
      <c r="D533" s="125"/>
      <c r="E533" s="125"/>
      <c r="F533" s="126"/>
      <c r="G533" s="125"/>
    </row>
    <row r="534" spans="1:13" ht="14.25" customHeight="1">
      <c r="A534" s="21" t="s">
        <v>51</v>
      </c>
      <c r="B534" s="65"/>
      <c r="C534" s="65"/>
      <c r="D534" s="65"/>
      <c r="E534" s="65"/>
      <c r="F534" s="176"/>
      <c r="G534" s="65"/>
    </row>
    <row r="535" spans="1:13" ht="17.25">
      <c r="A535" s="22" t="s">
        <v>57</v>
      </c>
      <c r="B535" s="66">
        <v>12800</v>
      </c>
      <c r="C535" s="66">
        <v>90325</v>
      </c>
      <c r="D535" s="66">
        <f>80000-45000</f>
        <v>35000</v>
      </c>
      <c r="E535" s="66">
        <v>55000</v>
      </c>
      <c r="F535" s="105">
        <v>-1</v>
      </c>
      <c r="G535" s="66">
        <v>0</v>
      </c>
    </row>
    <row r="536" spans="1:13" ht="17.25">
      <c r="A536" s="22" t="s">
        <v>490</v>
      </c>
      <c r="B536" s="67">
        <v>0</v>
      </c>
      <c r="C536" s="67">
        <v>0</v>
      </c>
      <c r="D536" s="67">
        <v>0</v>
      </c>
      <c r="E536" s="67">
        <v>0</v>
      </c>
      <c r="F536" s="131">
        <v>0</v>
      </c>
      <c r="G536" s="67">
        <v>0</v>
      </c>
    </row>
    <row r="537" spans="1:13" ht="17.25">
      <c r="A537" s="32" t="s">
        <v>60</v>
      </c>
      <c r="B537" s="97">
        <v>12800</v>
      </c>
      <c r="C537" s="97">
        <v>90325</v>
      </c>
      <c r="D537" s="97">
        <f>D535+D536</f>
        <v>35000</v>
      </c>
      <c r="E537" s="97">
        <f>E535+E536</f>
        <v>55000</v>
      </c>
      <c r="F537" s="98"/>
      <c r="G537" s="97">
        <f>G535+G536</f>
        <v>0</v>
      </c>
    </row>
    <row r="538" spans="1:13" s="7" customFormat="1" ht="17.25">
      <c r="A538" s="16" t="s">
        <v>68</v>
      </c>
      <c r="B538" s="93">
        <f>B537+B532</f>
        <v>91841</v>
      </c>
      <c r="C538" s="93">
        <f>C532+C537</f>
        <v>185614.5</v>
      </c>
      <c r="D538" s="93">
        <f>D532+D537</f>
        <v>217255</v>
      </c>
      <c r="E538" s="93">
        <f>E532+E537</f>
        <v>192080</v>
      </c>
      <c r="F538" s="93"/>
      <c r="G538" s="93">
        <f>G532+G537</f>
        <v>201000</v>
      </c>
      <c r="H538" s="1"/>
      <c r="I538" s="1"/>
      <c r="J538" s="1"/>
      <c r="K538" s="1"/>
      <c r="L538" s="1"/>
      <c r="M538" s="1"/>
    </row>
    <row r="539" spans="1:13" s="7" customFormat="1" ht="17.25">
      <c r="A539" s="29" t="s">
        <v>94</v>
      </c>
      <c r="B539" s="93"/>
      <c r="C539" s="93"/>
      <c r="D539" s="93"/>
      <c r="E539" s="93"/>
      <c r="F539" s="93"/>
      <c r="G539" s="93"/>
      <c r="H539" s="1"/>
      <c r="I539" s="1"/>
      <c r="J539" s="1"/>
      <c r="K539" s="1"/>
      <c r="L539" s="1"/>
      <c r="M539" s="1"/>
    </row>
    <row r="540" spans="1:13" s="7" customFormat="1" ht="17.25">
      <c r="A540" s="21" t="s">
        <v>95</v>
      </c>
      <c r="B540" s="93"/>
      <c r="C540" s="93"/>
      <c r="D540" s="93"/>
      <c r="E540" s="93"/>
      <c r="F540" s="93"/>
      <c r="G540" s="93"/>
      <c r="H540" s="1"/>
      <c r="I540" s="1"/>
      <c r="J540" s="1"/>
      <c r="K540" s="1"/>
      <c r="L540" s="1"/>
      <c r="M540" s="1"/>
    </row>
    <row r="541" spans="1:13" s="7" customFormat="1" ht="17.25">
      <c r="A541" s="22" t="s">
        <v>181</v>
      </c>
      <c r="B541" s="93">
        <v>0</v>
      </c>
      <c r="C541" s="93">
        <v>0</v>
      </c>
      <c r="D541" s="93">
        <v>0</v>
      </c>
      <c r="E541" s="93">
        <v>334410</v>
      </c>
      <c r="F541" s="134">
        <v>-1</v>
      </c>
      <c r="G541" s="93"/>
      <c r="H541" s="1"/>
      <c r="I541" s="1"/>
      <c r="J541" s="1"/>
      <c r="K541" s="1"/>
      <c r="L541" s="1"/>
      <c r="M541" s="1"/>
    </row>
    <row r="542" spans="1:13" s="7" customFormat="1" ht="17.25">
      <c r="A542" s="32" t="s">
        <v>98</v>
      </c>
      <c r="B542" s="93">
        <v>0</v>
      </c>
      <c r="C542" s="93">
        <v>0</v>
      </c>
      <c r="D542" s="93">
        <v>0</v>
      </c>
      <c r="E542" s="93">
        <v>334410</v>
      </c>
      <c r="F542" s="93"/>
      <c r="G542" s="93"/>
      <c r="H542" s="1"/>
      <c r="I542" s="1"/>
      <c r="J542" s="1"/>
      <c r="K542" s="1"/>
      <c r="L542" s="1"/>
      <c r="M542" s="1"/>
    </row>
    <row r="543" spans="1:13" s="7" customFormat="1" ht="17.25">
      <c r="A543" s="16" t="s">
        <v>99</v>
      </c>
      <c r="B543" s="93">
        <v>0</v>
      </c>
      <c r="C543" s="93">
        <v>0</v>
      </c>
      <c r="D543" s="93">
        <v>0</v>
      </c>
      <c r="E543" s="93">
        <v>334410</v>
      </c>
      <c r="F543" s="93"/>
      <c r="G543" s="93"/>
      <c r="H543" s="1"/>
      <c r="I543" s="1"/>
      <c r="J543" s="1"/>
      <c r="K543" s="1"/>
      <c r="L543" s="1"/>
      <c r="M543" s="1"/>
    </row>
    <row r="544" spans="1:13" s="7" customFormat="1" ht="17.25">
      <c r="A544" s="16" t="s">
        <v>195</v>
      </c>
      <c r="B544" s="93">
        <f>B543+B538</f>
        <v>91841</v>
      </c>
      <c r="C544" s="93">
        <f>C538</f>
        <v>185614.5</v>
      </c>
      <c r="D544" s="93">
        <f>D538</f>
        <v>217255</v>
      </c>
      <c r="E544" s="93">
        <f>E538+E543</f>
        <v>526490</v>
      </c>
      <c r="F544" s="93"/>
      <c r="G544" s="93">
        <f>G538</f>
        <v>201000</v>
      </c>
      <c r="H544" s="1"/>
      <c r="I544" s="1"/>
      <c r="J544" s="1"/>
      <c r="K544" s="1"/>
      <c r="L544" s="1"/>
      <c r="M544" s="1"/>
    </row>
    <row r="545" spans="1:13" s="7" customFormat="1" ht="17.25">
      <c r="A545" s="15" t="s">
        <v>196</v>
      </c>
      <c r="B545" s="92">
        <f>B489+B544</f>
        <v>1415990</v>
      </c>
      <c r="C545" s="92">
        <f>C489+C544</f>
        <v>1614825.5</v>
      </c>
      <c r="D545" s="92">
        <f>D489+D544</f>
        <v>1454538</v>
      </c>
      <c r="E545" s="92">
        <f>E544+E489</f>
        <v>3080630</v>
      </c>
      <c r="F545" s="92"/>
      <c r="G545" s="92">
        <f>G489+G538</f>
        <v>2046500</v>
      </c>
      <c r="H545" s="1"/>
      <c r="I545" s="1"/>
      <c r="J545" s="1"/>
      <c r="K545" s="1"/>
      <c r="L545" s="1"/>
      <c r="M545" s="1"/>
    </row>
    <row r="546" spans="1:13" s="7" customFormat="1" ht="17.25">
      <c r="A546" s="30" t="s">
        <v>197</v>
      </c>
      <c r="B546" s="19"/>
      <c r="C546" s="19"/>
      <c r="D546" s="19"/>
      <c r="E546" s="19"/>
      <c r="F546" s="19"/>
      <c r="G546" s="19"/>
      <c r="H546" s="1"/>
      <c r="I546" s="1"/>
      <c r="J546" s="1"/>
      <c r="K546" s="1"/>
      <c r="L546" s="1"/>
      <c r="M546" s="1"/>
    </row>
    <row r="547" spans="1:13" s="7" customFormat="1" ht="17.25">
      <c r="A547" s="21" t="s">
        <v>198</v>
      </c>
      <c r="B547" s="66"/>
      <c r="C547" s="66"/>
      <c r="D547" s="66"/>
      <c r="E547" s="66"/>
      <c r="F547" s="166"/>
      <c r="G547" s="66"/>
      <c r="H547" s="1"/>
      <c r="I547" s="1"/>
      <c r="J547" s="1"/>
      <c r="K547" s="1"/>
      <c r="L547" s="1"/>
      <c r="M547" s="1"/>
    </row>
    <row r="548" spans="1:13" s="7" customFormat="1" ht="17.25">
      <c r="A548" s="23" t="s">
        <v>105</v>
      </c>
      <c r="B548" s="66"/>
      <c r="C548" s="66"/>
      <c r="D548" s="66"/>
      <c r="E548" s="66"/>
      <c r="F548" s="166"/>
      <c r="G548" s="66"/>
      <c r="H548" s="1"/>
      <c r="I548" s="1"/>
      <c r="J548" s="1"/>
      <c r="K548" s="1"/>
      <c r="L548" s="1"/>
      <c r="M548" s="1"/>
    </row>
    <row r="549" spans="1:13" s="7" customFormat="1" ht="17.25">
      <c r="A549" s="21" t="s">
        <v>24</v>
      </c>
      <c r="B549" s="66"/>
      <c r="C549" s="66"/>
      <c r="D549" s="66"/>
      <c r="E549" s="66"/>
      <c r="F549" s="166"/>
      <c r="G549" s="66"/>
      <c r="H549" s="1"/>
      <c r="I549" s="1"/>
      <c r="J549" s="1"/>
      <c r="K549" s="1"/>
      <c r="L549" s="1"/>
      <c r="M549" s="1"/>
    </row>
    <row r="550" spans="1:13" s="7" customFormat="1" ht="17.25">
      <c r="A550" s="24" t="s">
        <v>25</v>
      </c>
      <c r="B550" s="66">
        <v>0</v>
      </c>
      <c r="C550" s="66">
        <v>0</v>
      </c>
      <c r="D550" s="66">
        <v>0</v>
      </c>
      <c r="E550" s="66">
        <v>691200</v>
      </c>
      <c r="F550" s="95">
        <v>4.1700000000000001E-2</v>
      </c>
      <c r="G550" s="66">
        <v>720000</v>
      </c>
      <c r="H550" s="1"/>
      <c r="I550" s="1"/>
      <c r="J550" s="1"/>
      <c r="K550" s="1"/>
      <c r="L550" s="1"/>
      <c r="M550" s="1"/>
    </row>
    <row r="551" spans="1:13" s="7" customFormat="1" ht="17.25">
      <c r="A551" s="15" t="s">
        <v>107</v>
      </c>
      <c r="B551" s="66">
        <v>0</v>
      </c>
      <c r="C551" s="66">
        <v>0</v>
      </c>
      <c r="D551" s="66">
        <v>0</v>
      </c>
      <c r="E551" s="66">
        <f>E550</f>
        <v>691200</v>
      </c>
      <c r="F551" s="166"/>
      <c r="G551" s="66">
        <f>G550</f>
        <v>720000</v>
      </c>
      <c r="H551" s="1"/>
      <c r="I551" s="1"/>
      <c r="J551" s="1"/>
      <c r="K551" s="1"/>
      <c r="L551" s="1"/>
      <c r="M551" s="1"/>
    </row>
    <row r="552" spans="1:13" s="7" customFormat="1" ht="17.25">
      <c r="A552" s="16" t="s">
        <v>108</v>
      </c>
      <c r="B552" s="92">
        <v>0</v>
      </c>
      <c r="C552" s="92">
        <v>0</v>
      </c>
      <c r="D552" s="92">
        <v>0</v>
      </c>
      <c r="E552" s="92">
        <f>E550</f>
        <v>691200</v>
      </c>
      <c r="F552" s="88"/>
      <c r="G552" s="92">
        <f>G550</f>
        <v>720000</v>
      </c>
      <c r="H552" s="1"/>
      <c r="I552" s="1"/>
      <c r="J552" s="1"/>
      <c r="K552" s="1"/>
      <c r="L552" s="1"/>
      <c r="M552" s="1"/>
    </row>
    <row r="553" spans="1:13" s="7" customFormat="1" ht="17.25">
      <c r="A553" s="29" t="s">
        <v>33</v>
      </c>
      <c r="B553" s="66"/>
      <c r="C553" s="66"/>
      <c r="D553" s="66"/>
      <c r="E553" s="66"/>
      <c r="F553" s="166"/>
      <c r="G553" s="66"/>
      <c r="H553" s="1"/>
      <c r="I553" s="1"/>
      <c r="J553" s="1"/>
      <c r="K553" s="1"/>
      <c r="L553" s="1"/>
      <c r="M553" s="1"/>
    </row>
    <row r="554" spans="1:13" s="7" customFormat="1" ht="17.25">
      <c r="A554" s="30" t="s">
        <v>34</v>
      </c>
      <c r="B554" s="66"/>
      <c r="C554" s="66"/>
      <c r="D554" s="66"/>
      <c r="E554" s="66"/>
      <c r="F554" s="166"/>
      <c r="G554" s="66"/>
      <c r="H554" s="1"/>
      <c r="I554" s="1"/>
      <c r="J554" s="1"/>
      <c r="K554" s="1"/>
      <c r="L554" s="1"/>
      <c r="M554" s="1"/>
    </row>
    <row r="555" spans="1:13" s="7" customFormat="1" ht="17.25">
      <c r="A555" s="27" t="s">
        <v>301</v>
      </c>
      <c r="B555" s="200">
        <v>0</v>
      </c>
      <c r="C555" s="200">
        <v>0</v>
      </c>
      <c r="D555" s="200">
        <v>0</v>
      </c>
      <c r="E555" s="200">
        <v>56800</v>
      </c>
      <c r="F555" s="233">
        <v>-0.82389999999999997</v>
      </c>
      <c r="G555" s="200">
        <v>10000</v>
      </c>
      <c r="H555" s="1"/>
      <c r="I555" s="1"/>
      <c r="J555" s="1"/>
      <c r="K555" s="1"/>
      <c r="L555" s="1"/>
      <c r="M555" s="1"/>
    </row>
    <row r="556" spans="1:13" s="7" customFormat="1" ht="17.25">
      <c r="A556" s="24" t="s">
        <v>302</v>
      </c>
      <c r="B556" s="202"/>
      <c r="C556" s="202"/>
      <c r="D556" s="202"/>
      <c r="E556" s="202"/>
      <c r="F556" s="234"/>
      <c r="G556" s="202"/>
      <c r="H556" s="1"/>
      <c r="I556" s="1"/>
      <c r="J556" s="1"/>
      <c r="K556" s="1"/>
      <c r="L556" s="1"/>
      <c r="M556" s="1"/>
    </row>
    <row r="557" spans="1:13" s="7" customFormat="1" ht="17.25">
      <c r="A557" s="26" t="s">
        <v>110</v>
      </c>
      <c r="B557" s="66">
        <v>0</v>
      </c>
      <c r="C557" s="66">
        <v>0</v>
      </c>
      <c r="D557" s="66">
        <v>0</v>
      </c>
      <c r="E557" s="66">
        <v>4200</v>
      </c>
      <c r="F557" s="172">
        <v>0</v>
      </c>
      <c r="G557" s="66">
        <v>4200</v>
      </c>
      <c r="H557" s="1"/>
      <c r="I557" s="1"/>
      <c r="J557" s="1"/>
      <c r="K557" s="1"/>
      <c r="L557" s="1"/>
      <c r="M557" s="1"/>
    </row>
    <row r="558" spans="1:13" s="7" customFormat="1" ht="17.25">
      <c r="A558" s="16" t="s">
        <v>40</v>
      </c>
      <c r="B558" s="92">
        <v>0</v>
      </c>
      <c r="C558" s="92">
        <v>0</v>
      </c>
      <c r="D558" s="92">
        <v>0</v>
      </c>
      <c r="E558" s="92">
        <f>E556+E557+E555</f>
        <v>61000</v>
      </c>
      <c r="F558" s="88"/>
      <c r="G558" s="92">
        <f>G556+G557+G555</f>
        <v>14200</v>
      </c>
      <c r="H558" s="1"/>
      <c r="I558" s="1"/>
      <c r="J558" s="1"/>
      <c r="K558" s="1"/>
      <c r="L558" s="1"/>
      <c r="M558" s="1"/>
    </row>
    <row r="559" spans="1:13" s="7" customFormat="1" ht="17.25">
      <c r="A559" s="106" t="s">
        <v>41</v>
      </c>
      <c r="B559" s="66"/>
      <c r="C559" s="66"/>
      <c r="D559" s="66"/>
      <c r="E559" s="66"/>
      <c r="F559" s="166"/>
      <c r="G559" s="66"/>
      <c r="H559" s="1"/>
      <c r="I559" s="1"/>
      <c r="J559" s="1"/>
      <c r="K559" s="1"/>
      <c r="L559" s="1"/>
      <c r="M559" s="1"/>
    </row>
    <row r="560" spans="1:13" s="7" customFormat="1" ht="17.25">
      <c r="A560" s="27" t="s">
        <v>44</v>
      </c>
      <c r="B560" s="200"/>
      <c r="C560" s="200"/>
      <c r="D560" s="200"/>
      <c r="E560" s="200"/>
      <c r="F560" s="200"/>
      <c r="G560" s="200"/>
      <c r="H560" s="1"/>
      <c r="I560" s="1"/>
      <c r="J560" s="1"/>
      <c r="K560" s="1"/>
      <c r="L560" s="1"/>
      <c r="M560" s="1"/>
    </row>
    <row r="561" spans="1:13" s="7" customFormat="1" ht="17.25">
      <c r="A561" s="24" t="s">
        <v>308</v>
      </c>
      <c r="B561" s="202"/>
      <c r="C561" s="202"/>
      <c r="D561" s="202"/>
      <c r="E561" s="202"/>
      <c r="F561" s="202"/>
      <c r="G561" s="202"/>
      <c r="H561" s="1"/>
      <c r="I561" s="1"/>
      <c r="J561" s="1"/>
      <c r="K561" s="1"/>
      <c r="L561" s="1"/>
      <c r="M561" s="1"/>
    </row>
    <row r="562" spans="1:13" s="7" customFormat="1" ht="17.25">
      <c r="A562" s="24" t="s">
        <v>199</v>
      </c>
      <c r="B562" s="66">
        <v>66495</v>
      </c>
      <c r="C562" s="66">
        <v>9928</v>
      </c>
      <c r="D562" s="66">
        <v>0</v>
      </c>
      <c r="E562" s="66">
        <v>0</v>
      </c>
      <c r="F562" s="105">
        <v>0</v>
      </c>
      <c r="G562" s="66">
        <v>0</v>
      </c>
      <c r="H562" s="1"/>
      <c r="I562" s="1"/>
      <c r="J562" s="1"/>
      <c r="K562" s="1"/>
      <c r="L562" s="1"/>
      <c r="M562" s="1"/>
    </row>
    <row r="563" spans="1:13" s="7" customFormat="1" ht="17.25">
      <c r="A563" s="22" t="s">
        <v>200</v>
      </c>
      <c r="B563" s="83">
        <v>0</v>
      </c>
      <c r="C563" s="83">
        <v>0</v>
      </c>
      <c r="D563" s="83">
        <v>8393</v>
      </c>
      <c r="E563" s="83">
        <v>0</v>
      </c>
      <c r="F563" s="167">
        <v>0</v>
      </c>
      <c r="G563" s="83">
        <v>0</v>
      </c>
      <c r="H563" s="1"/>
      <c r="I563" s="1"/>
      <c r="J563" s="1"/>
      <c r="K563" s="1"/>
      <c r="L563" s="1"/>
      <c r="M563" s="1"/>
    </row>
    <row r="564" spans="1:13" s="7" customFormat="1" ht="17.25">
      <c r="A564" s="15" t="s">
        <v>50</v>
      </c>
      <c r="B564" s="93">
        <v>66495</v>
      </c>
      <c r="C564" s="93">
        <f>C562</f>
        <v>9928</v>
      </c>
      <c r="D564" s="93">
        <f>D563</f>
        <v>8393</v>
      </c>
      <c r="E564" s="93">
        <v>0</v>
      </c>
      <c r="F564" s="73"/>
      <c r="G564" s="93">
        <f>G563</f>
        <v>0</v>
      </c>
      <c r="H564" s="1"/>
      <c r="I564" s="1"/>
      <c r="J564" s="1"/>
      <c r="K564" s="1"/>
      <c r="L564" s="1"/>
      <c r="M564" s="1"/>
    </row>
    <row r="565" spans="1:13" s="7" customFormat="1" ht="17.25">
      <c r="A565" s="32" t="s">
        <v>68</v>
      </c>
      <c r="B565" s="93">
        <v>66495</v>
      </c>
      <c r="C565" s="93">
        <f>C564</f>
        <v>9928</v>
      </c>
      <c r="D565" s="93">
        <f>D564</f>
        <v>8393</v>
      </c>
      <c r="E565" s="93">
        <f>E558+E564</f>
        <v>61000</v>
      </c>
      <c r="F565" s="73"/>
      <c r="G565" s="93">
        <f>G558+G564</f>
        <v>14200</v>
      </c>
      <c r="H565" s="1"/>
      <c r="I565" s="1"/>
      <c r="J565" s="1"/>
      <c r="K565" s="1"/>
      <c r="L565" s="1"/>
      <c r="M565" s="1"/>
    </row>
    <row r="566" spans="1:13" s="7" customFormat="1" ht="17.25">
      <c r="A566" s="21" t="s">
        <v>69</v>
      </c>
      <c r="B566" s="66"/>
      <c r="C566" s="66"/>
      <c r="D566" s="66"/>
      <c r="E566" s="66"/>
      <c r="F566" s="166"/>
      <c r="G566" s="66"/>
      <c r="H566" s="1"/>
      <c r="I566" s="1"/>
      <c r="J566" s="1"/>
      <c r="K566" s="1"/>
      <c r="L566" s="1"/>
      <c r="M566" s="1"/>
    </row>
    <row r="567" spans="1:13" s="7" customFormat="1" ht="17.25">
      <c r="A567" s="21" t="s">
        <v>70</v>
      </c>
      <c r="B567" s="56"/>
      <c r="C567" s="56"/>
      <c r="D567" s="54"/>
      <c r="E567" s="54"/>
      <c r="F567" s="176"/>
      <c r="G567" s="54"/>
      <c r="H567" s="1"/>
      <c r="I567" s="1"/>
      <c r="J567" s="1"/>
      <c r="K567" s="1"/>
      <c r="L567" s="1"/>
      <c r="M567" s="1"/>
    </row>
    <row r="568" spans="1:13" s="7" customFormat="1" ht="17.25">
      <c r="A568" s="22" t="s">
        <v>119</v>
      </c>
      <c r="B568" s="83"/>
      <c r="C568" s="83"/>
      <c r="D568" s="83"/>
      <c r="E568" s="83"/>
      <c r="F568" s="164"/>
      <c r="G568" s="83"/>
      <c r="H568" s="1"/>
      <c r="I568" s="1"/>
      <c r="J568" s="1"/>
      <c r="K568" s="1"/>
      <c r="L568" s="1"/>
      <c r="M568" s="1"/>
    </row>
    <row r="569" spans="1:13" s="7" customFormat="1" ht="17.25">
      <c r="A569" s="24" t="s">
        <v>614</v>
      </c>
      <c r="B569" s="65">
        <v>0</v>
      </c>
      <c r="C569" s="65">
        <v>0</v>
      </c>
      <c r="D569" s="65">
        <v>0</v>
      </c>
      <c r="E569" s="65">
        <v>0</v>
      </c>
      <c r="F569" s="119">
        <v>1</v>
      </c>
      <c r="G569" s="65">
        <v>5800</v>
      </c>
      <c r="H569" s="1"/>
      <c r="I569" s="1"/>
      <c r="J569" s="1"/>
      <c r="K569" s="1"/>
      <c r="L569" s="1"/>
      <c r="M569" s="1"/>
    </row>
    <row r="570" spans="1:13" s="7" customFormat="1" ht="17.25">
      <c r="A570" s="32" t="s">
        <v>82</v>
      </c>
      <c r="B570" s="93">
        <v>0</v>
      </c>
      <c r="C570" s="93">
        <v>0</v>
      </c>
      <c r="D570" s="93">
        <v>0</v>
      </c>
      <c r="E570" s="93">
        <v>0</v>
      </c>
      <c r="F570" s="73"/>
      <c r="G570" s="93">
        <f>G569</f>
        <v>5800</v>
      </c>
      <c r="H570" s="1"/>
      <c r="I570" s="1"/>
      <c r="J570" s="1"/>
      <c r="K570" s="1"/>
      <c r="L570" s="1"/>
      <c r="M570" s="1"/>
    </row>
    <row r="571" spans="1:13" s="7" customFormat="1" ht="17.25">
      <c r="A571" s="16" t="s">
        <v>88</v>
      </c>
      <c r="B571" s="93">
        <v>0</v>
      </c>
      <c r="C571" s="93">
        <v>0</v>
      </c>
      <c r="D571" s="93"/>
      <c r="E571" s="93"/>
      <c r="F571" s="73"/>
      <c r="G571" s="93">
        <f>G570</f>
        <v>5800</v>
      </c>
      <c r="H571" s="1"/>
      <c r="I571" s="1"/>
      <c r="J571" s="1"/>
      <c r="K571" s="1"/>
      <c r="L571" s="1"/>
      <c r="M571" s="1"/>
    </row>
    <row r="572" spans="1:13" s="7" customFormat="1" ht="17.25">
      <c r="A572" s="16" t="s">
        <v>615</v>
      </c>
      <c r="B572" s="92">
        <f>B565</f>
        <v>66495</v>
      </c>
      <c r="C572" s="92">
        <f>C565</f>
        <v>9928</v>
      </c>
      <c r="D572" s="92">
        <f>D565</f>
        <v>8393</v>
      </c>
      <c r="E572" s="92">
        <f>E552+E565</f>
        <v>752200</v>
      </c>
      <c r="F572" s="88"/>
      <c r="G572" s="92">
        <f>G552+G565+G571</f>
        <v>740000</v>
      </c>
      <c r="H572" s="1"/>
      <c r="I572" s="1"/>
      <c r="J572" s="1"/>
      <c r="K572" s="1"/>
      <c r="L572" s="1"/>
      <c r="M572" s="1"/>
    </row>
    <row r="573" spans="1:13" s="7" customFormat="1" ht="17.25">
      <c r="A573" s="21" t="s">
        <v>198</v>
      </c>
      <c r="B573" s="92"/>
      <c r="C573" s="92"/>
      <c r="D573" s="92"/>
      <c r="E573" s="92"/>
      <c r="F573" s="88"/>
      <c r="G573" s="92"/>
      <c r="H573" s="1"/>
      <c r="I573" s="1"/>
      <c r="J573" s="1"/>
      <c r="K573" s="1"/>
      <c r="L573" s="1"/>
      <c r="M573" s="1"/>
    </row>
    <row r="574" spans="1:13" s="7" customFormat="1" ht="17.25">
      <c r="A574" s="23" t="s">
        <v>33</v>
      </c>
      <c r="B574" s="66"/>
      <c r="C574" s="66"/>
      <c r="D574" s="66">
        <v>0</v>
      </c>
      <c r="E574" s="66"/>
      <c r="F574" s="166"/>
      <c r="G574" s="66"/>
      <c r="H574" s="1"/>
      <c r="I574" s="1"/>
      <c r="J574" s="1"/>
      <c r="K574" s="1"/>
      <c r="L574" s="1"/>
    </row>
    <row r="575" spans="1:13" s="7" customFormat="1" ht="17.25">
      <c r="A575" s="21" t="s">
        <v>41</v>
      </c>
      <c r="B575" s="56"/>
      <c r="C575" s="56"/>
      <c r="D575" s="56"/>
      <c r="E575" s="56"/>
      <c r="F575" s="176"/>
      <c r="G575" s="56"/>
      <c r="H575" s="1"/>
      <c r="I575" s="1"/>
      <c r="J575" s="1"/>
      <c r="K575" s="1"/>
      <c r="L575" s="1"/>
    </row>
    <row r="576" spans="1:13" s="7" customFormat="1" ht="17.25">
      <c r="A576" s="27" t="s">
        <v>616</v>
      </c>
      <c r="B576" s="57"/>
      <c r="C576" s="57"/>
      <c r="D576" s="57"/>
      <c r="E576" s="57"/>
      <c r="F576" s="165"/>
      <c r="G576" s="57"/>
      <c r="H576" s="1"/>
      <c r="I576" s="1"/>
      <c r="J576" s="1"/>
      <c r="K576" s="1"/>
      <c r="L576" s="1"/>
    </row>
    <row r="577" spans="1:12" s="7" customFormat="1" ht="17.25">
      <c r="A577" s="22" t="s">
        <v>617</v>
      </c>
      <c r="B577" s="176">
        <v>0</v>
      </c>
      <c r="C577" s="176">
        <v>0</v>
      </c>
      <c r="D577" s="176">
        <v>0</v>
      </c>
      <c r="E577" s="176">
        <v>0</v>
      </c>
      <c r="F577" s="59">
        <v>1</v>
      </c>
      <c r="G577" s="176">
        <v>18000</v>
      </c>
      <c r="H577" s="1"/>
      <c r="I577" s="1"/>
      <c r="J577" s="1"/>
      <c r="K577" s="1"/>
      <c r="L577" s="1"/>
    </row>
    <row r="578" spans="1:12" s="7" customFormat="1" ht="17.25">
      <c r="A578" s="15" t="s">
        <v>50</v>
      </c>
      <c r="B578" s="92">
        <f>SUM(B577)</f>
        <v>0</v>
      </c>
      <c r="C578" s="92">
        <v>0</v>
      </c>
      <c r="D578" s="92">
        <v>0</v>
      </c>
      <c r="E578" s="92">
        <v>0</v>
      </c>
      <c r="F578" s="88"/>
      <c r="G578" s="92">
        <f>G577</f>
        <v>18000</v>
      </c>
      <c r="H578" s="1"/>
      <c r="I578" s="1"/>
      <c r="J578" s="1"/>
      <c r="K578" s="1"/>
      <c r="L578" s="1"/>
    </row>
    <row r="579" spans="1:12" s="7" customFormat="1" ht="17.25">
      <c r="A579" s="16" t="s">
        <v>68</v>
      </c>
      <c r="B579" s="93">
        <v>0</v>
      </c>
      <c r="C579" s="93">
        <v>0</v>
      </c>
      <c r="D579" s="93">
        <v>0</v>
      </c>
      <c r="E579" s="93">
        <v>0</v>
      </c>
      <c r="F579" s="73"/>
      <c r="G579" s="93">
        <f>G577</f>
        <v>18000</v>
      </c>
      <c r="H579" s="1"/>
      <c r="I579" s="1"/>
      <c r="J579" s="1"/>
      <c r="K579" s="1"/>
      <c r="L579" s="1"/>
    </row>
    <row r="580" spans="1:12" s="7" customFormat="1" ht="17.25">
      <c r="A580" s="37" t="s">
        <v>201</v>
      </c>
      <c r="B580" s="93">
        <f>B572+B579</f>
        <v>66495</v>
      </c>
      <c r="C580" s="93">
        <f>C572+C579</f>
        <v>9928</v>
      </c>
      <c r="D580" s="93">
        <f>D572+D579</f>
        <v>8393</v>
      </c>
      <c r="E580" s="93">
        <f>E572+E579</f>
        <v>752200</v>
      </c>
      <c r="F580" s="73"/>
      <c r="G580" s="93">
        <f>G572+G579</f>
        <v>758000</v>
      </c>
      <c r="H580" s="1"/>
      <c r="I580" s="1"/>
      <c r="J580" s="1"/>
      <c r="K580" s="1"/>
      <c r="L580" s="1"/>
    </row>
    <row r="581" spans="1:12" ht="17.25">
      <c r="A581" s="32" t="s">
        <v>202</v>
      </c>
      <c r="B581" s="92">
        <f>B580</f>
        <v>66495</v>
      </c>
      <c r="C581" s="92">
        <f>C580</f>
        <v>9928</v>
      </c>
      <c r="D581" s="92">
        <f>D580</f>
        <v>8393</v>
      </c>
      <c r="E581" s="92">
        <f>E580</f>
        <v>752200</v>
      </c>
      <c r="F581" s="88"/>
      <c r="G581" s="92">
        <f>G580</f>
        <v>758000</v>
      </c>
      <c r="H581" s="1"/>
      <c r="I581" s="1"/>
      <c r="J581" s="1"/>
      <c r="K581" s="1"/>
      <c r="L581" s="1"/>
    </row>
    <row r="582" spans="1:12" ht="17.25">
      <c r="A582" s="21" t="s">
        <v>203</v>
      </c>
      <c r="B582" s="65" t="s">
        <v>618</v>
      </c>
      <c r="C582" s="65"/>
      <c r="D582" s="65"/>
      <c r="E582" s="65"/>
      <c r="F582" s="176"/>
      <c r="G582" s="65"/>
      <c r="H582" s="1"/>
      <c r="I582" s="1"/>
      <c r="J582" s="1"/>
      <c r="K582" s="1"/>
      <c r="L582" s="1"/>
    </row>
    <row r="583" spans="1:12" ht="17.25">
      <c r="A583" s="21" t="s">
        <v>204</v>
      </c>
      <c r="B583" s="66"/>
      <c r="C583" s="66"/>
      <c r="D583" s="66"/>
      <c r="E583" s="66"/>
      <c r="F583" s="166"/>
      <c r="G583" s="66"/>
      <c r="H583" s="1"/>
      <c r="I583" s="1"/>
      <c r="J583" s="1"/>
      <c r="K583" s="1"/>
      <c r="L583" s="1"/>
    </row>
    <row r="584" spans="1:12" ht="17.25">
      <c r="A584" s="21" t="s">
        <v>105</v>
      </c>
      <c r="B584" s="83"/>
      <c r="C584" s="83"/>
      <c r="D584" s="83"/>
      <c r="E584" s="83"/>
      <c r="F584" s="164"/>
      <c r="G584" s="83"/>
      <c r="H584" s="1"/>
      <c r="I584" s="1"/>
      <c r="J584" s="1"/>
      <c r="K584" s="1"/>
      <c r="L584" s="1"/>
    </row>
    <row r="585" spans="1:12" ht="17.25">
      <c r="A585" s="21" t="s">
        <v>24</v>
      </c>
      <c r="B585" s="65"/>
      <c r="C585" s="65"/>
      <c r="D585" s="65"/>
      <c r="E585" s="65"/>
      <c r="F585" s="176"/>
      <c r="G585" s="65"/>
      <c r="H585" s="1"/>
      <c r="I585" s="1"/>
      <c r="J585" s="1"/>
      <c r="K585" s="1"/>
      <c r="L585" s="1"/>
    </row>
    <row r="586" spans="1:12" ht="17.25">
      <c r="A586" s="22" t="s">
        <v>25</v>
      </c>
      <c r="B586" s="66">
        <v>62250</v>
      </c>
      <c r="C586" s="66">
        <v>781580</v>
      </c>
      <c r="D586" s="66">
        <f>841440-20000-12999-1</f>
        <v>808440</v>
      </c>
      <c r="E586" s="66">
        <v>885960</v>
      </c>
      <c r="F586" s="95">
        <v>0.44479999999999997</v>
      </c>
      <c r="G586" s="66">
        <v>1280000</v>
      </c>
      <c r="H586" s="1"/>
      <c r="I586" s="1"/>
      <c r="J586" s="1"/>
      <c r="K586" s="1"/>
      <c r="L586" s="1"/>
    </row>
    <row r="587" spans="1:12" ht="17.25">
      <c r="A587" s="22" t="s">
        <v>26</v>
      </c>
      <c r="B587" s="83">
        <v>35000</v>
      </c>
      <c r="C587" s="83">
        <v>57000</v>
      </c>
      <c r="D587" s="83">
        <f>60000</f>
        <v>60000</v>
      </c>
      <c r="E587" s="83">
        <v>60000</v>
      </c>
      <c r="F587" s="189">
        <v>0</v>
      </c>
      <c r="G587" s="83">
        <v>60000</v>
      </c>
    </row>
    <row r="588" spans="1:12" ht="17.25">
      <c r="A588" s="26" t="s">
        <v>27</v>
      </c>
      <c r="B588" s="65">
        <v>183390</v>
      </c>
      <c r="C588" s="65">
        <v>192360</v>
      </c>
      <c r="D588" s="65">
        <v>207240</v>
      </c>
      <c r="E588" s="65">
        <v>218280</v>
      </c>
      <c r="F588" s="196">
        <v>0.05</v>
      </c>
      <c r="G588" s="65">
        <v>229200</v>
      </c>
    </row>
    <row r="589" spans="1:12" ht="17.25">
      <c r="A589" s="22" t="s">
        <v>28</v>
      </c>
      <c r="B589" s="66">
        <v>957360</v>
      </c>
      <c r="C589" s="66">
        <v>486000</v>
      </c>
      <c r="D589" s="66">
        <f>540000-30000-20000-679.67</f>
        <v>489320.33</v>
      </c>
      <c r="E589" s="66">
        <v>432000</v>
      </c>
      <c r="F589" s="191">
        <v>0</v>
      </c>
      <c r="G589" s="66">
        <v>432000</v>
      </c>
    </row>
    <row r="590" spans="1:12" ht="17.25">
      <c r="A590" s="22" t="s">
        <v>106</v>
      </c>
      <c r="B590" s="65">
        <v>36000</v>
      </c>
      <c r="C590" s="65">
        <v>60000</v>
      </c>
      <c r="D590" s="65">
        <v>60000</v>
      </c>
      <c r="E590" s="65">
        <v>48000</v>
      </c>
      <c r="F590" s="119">
        <v>0</v>
      </c>
      <c r="G590" s="65">
        <v>48000</v>
      </c>
    </row>
    <row r="591" spans="1:12" ht="17.25">
      <c r="A591" s="16" t="s">
        <v>107</v>
      </c>
      <c r="B591" s="92">
        <f>SUM(B586:B590)</f>
        <v>1274000</v>
      </c>
      <c r="C591" s="92">
        <f>SUM(C586:C590)</f>
        <v>1576940</v>
      </c>
      <c r="D591" s="92">
        <f>SUM(D586:D590)</f>
        <v>1625000.33</v>
      </c>
      <c r="E591" s="92">
        <f>SUM(E586:E590)</f>
        <v>1644240</v>
      </c>
      <c r="F591" s="88"/>
      <c r="G591" s="92">
        <f>SUM(G586:G590)</f>
        <v>2049200</v>
      </c>
    </row>
    <row r="592" spans="1:12" ht="13.5" customHeight="1">
      <c r="A592" s="16" t="s">
        <v>108</v>
      </c>
      <c r="B592" s="93">
        <f>B591</f>
        <v>1274000</v>
      </c>
      <c r="C592" s="93">
        <f>C591</f>
        <v>1576940</v>
      </c>
      <c r="D592" s="93">
        <f>D591</f>
        <v>1625000.33</v>
      </c>
      <c r="E592" s="93">
        <f>E591</f>
        <v>1644240</v>
      </c>
      <c r="F592" s="73"/>
      <c r="G592" s="93">
        <f>G591</f>
        <v>2049200</v>
      </c>
    </row>
    <row r="593" spans="1:13" s="7" customFormat="1" ht="17.25">
      <c r="A593" s="21" t="s">
        <v>33</v>
      </c>
      <c r="B593" s="65"/>
      <c r="C593" s="65"/>
      <c r="D593" s="65"/>
      <c r="E593" s="65"/>
      <c r="F593" s="176"/>
      <c r="G593" s="65"/>
      <c r="H593" s="1"/>
      <c r="I593" s="1"/>
      <c r="J593" s="1"/>
      <c r="K593" s="1"/>
      <c r="L593" s="1"/>
      <c r="M593" s="1"/>
    </row>
    <row r="594" spans="1:13" s="7" customFormat="1" ht="17.25">
      <c r="A594" s="30" t="s">
        <v>34</v>
      </c>
      <c r="B594" s="65"/>
      <c r="C594" s="65"/>
      <c r="D594" s="65"/>
      <c r="E594" s="65"/>
      <c r="F594" s="176"/>
      <c r="G594" s="65"/>
      <c r="H594" s="1"/>
      <c r="I594" s="1"/>
      <c r="J594" s="1"/>
      <c r="K594" s="1"/>
      <c r="L594" s="1"/>
      <c r="M594" s="1"/>
    </row>
    <row r="595" spans="1:13" s="7" customFormat="1" ht="17.25">
      <c r="A595" s="27" t="s">
        <v>301</v>
      </c>
      <c r="B595" s="200">
        <v>162870</v>
      </c>
      <c r="C595" s="200">
        <v>188820</v>
      </c>
      <c r="D595" s="200">
        <f>24825+66195</f>
        <v>91020</v>
      </c>
      <c r="E595" s="200">
        <v>40000</v>
      </c>
      <c r="F595" s="211">
        <v>0</v>
      </c>
      <c r="G595" s="200">
        <v>40000</v>
      </c>
      <c r="H595" s="1"/>
      <c r="I595" s="1"/>
      <c r="J595" s="1"/>
      <c r="K595" s="1"/>
      <c r="L595" s="1"/>
      <c r="M595" s="1"/>
    </row>
    <row r="596" spans="1:13" s="7" customFormat="1" ht="17.25">
      <c r="A596" s="24" t="s">
        <v>302</v>
      </c>
      <c r="B596" s="202"/>
      <c r="C596" s="202"/>
      <c r="D596" s="202"/>
      <c r="E596" s="202"/>
      <c r="F596" s="202"/>
      <c r="G596" s="202"/>
      <c r="H596" s="1"/>
      <c r="I596" s="1"/>
      <c r="J596" s="1"/>
      <c r="K596" s="1"/>
      <c r="L596" s="1"/>
      <c r="M596" s="1"/>
    </row>
    <row r="597" spans="1:13" s="7" customFormat="1" ht="17.25">
      <c r="A597" s="24" t="s">
        <v>109</v>
      </c>
      <c r="B597" s="66">
        <v>0</v>
      </c>
      <c r="C597" s="66">
        <v>0</v>
      </c>
      <c r="D597" s="66">
        <v>10000</v>
      </c>
      <c r="E597" s="66">
        <v>2000</v>
      </c>
      <c r="F597" s="105">
        <v>-0.5</v>
      </c>
      <c r="G597" s="66">
        <v>1000</v>
      </c>
      <c r="H597" s="1"/>
      <c r="I597" s="1"/>
      <c r="J597" s="1"/>
      <c r="K597" s="1"/>
      <c r="L597" s="1"/>
      <c r="M597" s="1"/>
    </row>
    <row r="598" spans="1:13" s="7" customFormat="1" ht="17.25">
      <c r="A598" s="24" t="s">
        <v>205</v>
      </c>
      <c r="B598" s="65">
        <v>0</v>
      </c>
      <c r="C598" s="65">
        <v>0</v>
      </c>
      <c r="D598" s="65">
        <v>18000</v>
      </c>
      <c r="E598" s="65">
        <v>30000</v>
      </c>
      <c r="F598" s="119">
        <v>0.2</v>
      </c>
      <c r="G598" s="65">
        <v>36000</v>
      </c>
      <c r="H598" s="1"/>
      <c r="I598" s="1"/>
      <c r="J598" s="1"/>
      <c r="K598" s="1"/>
      <c r="L598" s="1"/>
      <c r="M598" s="1"/>
    </row>
    <row r="599" spans="1:13" s="7" customFormat="1" ht="17.25">
      <c r="A599" s="31" t="s">
        <v>110</v>
      </c>
      <c r="B599" s="66">
        <v>4910</v>
      </c>
      <c r="C599" s="66">
        <v>7890</v>
      </c>
      <c r="D599" s="66">
        <v>20000</v>
      </c>
      <c r="E599" s="66">
        <v>15000</v>
      </c>
      <c r="F599" s="172">
        <v>-0.12</v>
      </c>
      <c r="G599" s="66">
        <v>13200</v>
      </c>
      <c r="H599" s="1"/>
      <c r="I599" s="1"/>
      <c r="J599" s="1"/>
      <c r="K599" s="1"/>
      <c r="L599" s="1"/>
      <c r="M599" s="1"/>
    </row>
    <row r="600" spans="1:13" s="7" customFormat="1" ht="17.25">
      <c r="A600" s="32" t="s">
        <v>40</v>
      </c>
      <c r="B600" s="93">
        <f>SUM(B595:B599)</f>
        <v>167780</v>
      </c>
      <c r="C600" s="93">
        <f>SUM(C595:C599)</f>
        <v>196710</v>
      </c>
      <c r="D600" s="93">
        <f>SUM(D595:D599)</f>
        <v>139020</v>
      </c>
      <c r="E600" s="93">
        <f>SUM(E595:E599)</f>
        <v>87000</v>
      </c>
      <c r="F600" s="73"/>
      <c r="G600" s="93">
        <f>SUM(G595:G599)</f>
        <v>90200</v>
      </c>
      <c r="H600" s="1"/>
      <c r="I600" s="1"/>
      <c r="J600" s="1"/>
      <c r="K600" s="1"/>
      <c r="L600" s="1"/>
      <c r="M600" s="1"/>
    </row>
    <row r="601" spans="1:13" s="7" customFormat="1" ht="17.25">
      <c r="A601" s="21" t="s">
        <v>41</v>
      </c>
      <c r="B601" s="66"/>
      <c r="C601" s="66"/>
      <c r="D601" s="66"/>
      <c r="E601" s="66"/>
      <c r="F601" s="166"/>
      <c r="G601" s="66"/>
      <c r="H601" s="1"/>
      <c r="I601" s="1"/>
      <c r="J601" s="1"/>
      <c r="K601" s="1"/>
      <c r="L601" s="1"/>
      <c r="M601" s="1"/>
    </row>
    <row r="602" spans="1:13" s="7" customFormat="1" ht="17.25">
      <c r="A602" s="27" t="s">
        <v>42</v>
      </c>
      <c r="B602" s="83">
        <v>253514.58</v>
      </c>
      <c r="C602" s="83">
        <v>244027.5</v>
      </c>
      <c r="D602" s="83">
        <v>220000</v>
      </c>
      <c r="E602" s="83">
        <v>188000</v>
      </c>
      <c r="F602" s="192">
        <v>-1</v>
      </c>
      <c r="G602" s="83">
        <v>250000</v>
      </c>
      <c r="H602" s="1"/>
      <c r="I602" s="1"/>
      <c r="J602" s="1"/>
      <c r="K602" s="1"/>
      <c r="L602" s="1"/>
      <c r="M602" s="1"/>
    </row>
    <row r="603" spans="1:13" s="7" customFormat="1" ht="17.25">
      <c r="A603" s="27" t="s">
        <v>44</v>
      </c>
      <c r="B603" s="200"/>
      <c r="C603" s="200"/>
      <c r="D603" s="200"/>
      <c r="E603" s="200"/>
      <c r="F603" s="200"/>
      <c r="G603" s="200"/>
      <c r="H603" s="1"/>
      <c r="I603" s="1"/>
      <c r="J603" s="1"/>
      <c r="K603" s="1"/>
      <c r="L603" s="1"/>
      <c r="M603" s="1"/>
    </row>
    <row r="604" spans="1:13" s="7" customFormat="1" ht="17.25">
      <c r="A604" s="24" t="s">
        <v>308</v>
      </c>
      <c r="B604" s="202"/>
      <c r="C604" s="202"/>
      <c r="D604" s="202"/>
      <c r="E604" s="202"/>
      <c r="F604" s="202"/>
      <c r="G604" s="202"/>
      <c r="H604" s="1"/>
      <c r="I604" s="1"/>
      <c r="J604" s="1"/>
      <c r="K604" s="1"/>
      <c r="L604" s="1"/>
      <c r="M604" s="1"/>
    </row>
    <row r="605" spans="1:13" s="7" customFormat="1" ht="17.25">
      <c r="A605" s="24" t="s">
        <v>46</v>
      </c>
      <c r="B605" s="66">
        <v>0</v>
      </c>
      <c r="C605" s="66">
        <f>13208.24+8395.88</f>
        <v>21604.12</v>
      </c>
      <c r="D605" s="66">
        <v>30000</v>
      </c>
      <c r="E605" s="66">
        <v>25000</v>
      </c>
      <c r="F605" s="105">
        <v>1</v>
      </c>
      <c r="G605" s="66">
        <v>20000</v>
      </c>
      <c r="H605" s="1"/>
      <c r="I605" s="1"/>
      <c r="J605" s="1"/>
      <c r="K605" s="1"/>
      <c r="L605" s="1"/>
      <c r="M605" s="1"/>
    </row>
    <row r="606" spans="1:13" s="7" customFormat="1" ht="17.25">
      <c r="A606" s="24" t="s">
        <v>49</v>
      </c>
      <c r="B606" s="66">
        <v>0</v>
      </c>
      <c r="C606" s="66">
        <v>2900</v>
      </c>
      <c r="D606" s="66">
        <v>15000</v>
      </c>
      <c r="E606" s="66">
        <v>15000</v>
      </c>
      <c r="F606" s="140">
        <v>-0.33329999999999999</v>
      </c>
      <c r="G606" s="66">
        <v>10000</v>
      </c>
      <c r="H606" s="1"/>
      <c r="I606" s="1"/>
      <c r="J606" s="1"/>
      <c r="K606" s="1"/>
      <c r="L606" s="1"/>
    </row>
    <row r="607" spans="1:13" s="7" customFormat="1" ht="17.25">
      <c r="A607" s="32" t="s">
        <v>50</v>
      </c>
      <c r="B607" s="60">
        <f>SUM(B602:B606)</f>
        <v>253514.58</v>
      </c>
      <c r="C607" s="60">
        <f>SUM(C602:C606)</f>
        <v>268531.62</v>
      </c>
      <c r="D607" s="60">
        <f>SUM(D602:D606)</f>
        <v>265000</v>
      </c>
      <c r="E607" s="60">
        <f>SUM(E602:E606)</f>
        <v>228000</v>
      </c>
      <c r="F607" s="73"/>
      <c r="G607" s="60">
        <f>SUM(G602:G606)</f>
        <v>280000</v>
      </c>
      <c r="H607" s="1"/>
      <c r="I607" s="1"/>
      <c r="J607" s="1"/>
      <c r="K607" s="1"/>
      <c r="L607" s="1"/>
    </row>
    <row r="608" spans="1:13" s="7" customFormat="1" ht="17.25">
      <c r="A608" s="21" t="s">
        <v>51</v>
      </c>
      <c r="B608" s="57"/>
      <c r="C608" s="57"/>
      <c r="D608" s="57"/>
      <c r="E608" s="57"/>
      <c r="F608" s="165"/>
      <c r="G608" s="57"/>
      <c r="H608" s="1"/>
      <c r="I608" s="1"/>
      <c r="J608" s="1"/>
      <c r="K608" s="1"/>
      <c r="L608" s="1"/>
    </row>
    <row r="609" spans="1:12" s="7" customFormat="1" ht="17.25">
      <c r="A609" s="22" t="s">
        <v>52</v>
      </c>
      <c r="B609" s="65">
        <v>94400</v>
      </c>
      <c r="C609" s="65">
        <v>24100</v>
      </c>
      <c r="D609" s="65">
        <f>25000-10000</f>
        <v>15000</v>
      </c>
      <c r="E609" s="65">
        <v>20000</v>
      </c>
      <c r="F609" s="119">
        <v>0</v>
      </c>
      <c r="G609" s="65">
        <v>20000</v>
      </c>
      <c r="H609" s="1"/>
      <c r="I609" s="1"/>
      <c r="J609" s="1"/>
      <c r="K609" s="1"/>
      <c r="L609" s="1"/>
    </row>
    <row r="610" spans="1:12" s="7" customFormat="1" ht="17.25">
      <c r="A610" s="24" t="s">
        <v>56</v>
      </c>
      <c r="B610" s="66">
        <v>26000</v>
      </c>
      <c r="C610" s="66">
        <f>11500-900</f>
        <v>10600</v>
      </c>
      <c r="D610" s="66">
        <v>10000</v>
      </c>
      <c r="E610" s="66">
        <v>20000</v>
      </c>
      <c r="F610" s="105">
        <v>-0.25</v>
      </c>
      <c r="G610" s="66">
        <v>15000</v>
      </c>
      <c r="H610" s="1"/>
      <c r="I610" s="1"/>
      <c r="J610" s="1"/>
      <c r="K610" s="1"/>
      <c r="L610" s="1"/>
    </row>
    <row r="611" spans="1:12" s="7" customFormat="1" ht="17.25">
      <c r="A611" s="22" t="s">
        <v>57</v>
      </c>
      <c r="B611" s="65">
        <v>120000</v>
      </c>
      <c r="C611" s="65">
        <f>100000-7111</f>
        <v>92889</v>
      </c>
      <c r="D611" s="65">
        <f>40000-10000</f>
        <v>30000</v>
      </c>
      <c r="E611" s="65">
        <v>40000</v>
      </c>
      <c r="F611" s="119">
        <v>-0.25</v>
      </c>
      <c r="G611" s="65">
        <v>30000</v>
      </c>
      <c r="H611" s="1"/>
      <c r="I611" s="1"/>
      <c r="J611" s="1"/>
      <c r="K611" s="1"/>
      <c r="L611" s="1"/>
    </row>
    <row r="612" spans="1:12" s="7" customFormat="1" ht="17.25">
      <c r="A612" s="26" t="s">
        <v>58</v>
      </c>
      <c r="B612" s="65">
        <v>0</v>
      </c>
      <c r="C612" s="65">
        <f>50000-500</f>
        <v>49500</v>
      </c>
      <c r="D612" s="65">
        <f>50000-10000</f>
        <v>40000</v>
      </c>
      <c r="E612" s="65">
        <v>87100</v>
      </c>
      <c r="F612" s="62">
        <v>-0.65559999999999996</v>
      </c>
      <c r="G612" s="65">
        <v>30000</v>
      </c>
      <c r="H612" s="1"/>
      <c r="I612" s="1"/>
      <c r="J612" s="1"/>
      <c r="K612" s="1"/>
      <c r="L612" s="1"/>
    </row>
    <row r="613" spans="1:12" ht="17.25">
      <c r="A613" s="27" t="s">
        <v>59</v>
      </c>
      <c r="B613" s="66">
        <v>0</v>
      </c>
      <c r="C613" s="66">
        <v>0</v>
      </c>
      <c r="D613" s="66">
        <v>10000</v>
      </c>
      <c r="E613" s="66">
        <v>2900</v>
      </c>
      <c r="F613" s="95">
        <v>1.7585999999999999</v>
      </c>
      <c r="G613" s="66">
        <v>8000</v>
      </c>
      <c r="H613" s="1"/>
      <c r="I613" s="1"/>
      <c r="J613" s="1"/>
      <c r="K613" s="1"/>
      <c r="L613" s="1"/>
    </row>
    <row r="614" spans="1:12" ht="17.25">
      <c r="A614" s="16" t="s">
        <v>60</v>
      </c>
      <c r="B614" s="93">
        <f>SUM(B609:B613)</f>
        <v>240400</v>
      </c>
      <c r="C614" s="93">
        <f>SUM(C609:C613)</f>
        <v>177089</v>
      </c>
      <c r="D614" s="93">
        <f>SUM(D609:D613)</f>
        <v>105000</v>
      </c>
      <c r="E614" s="93">
        <f>SUM(E609:E613)</f>
        <v>170000</v>
      </c>
      <c r="F614" s="73"/>
      <c r="G614" s="93">
        <f>SUM(G609:G613)</f>
        <v>103000</v>
      </c>
      <c r="H614" s="1"/>
      <c r="I614" s="1"/>
      <c r="J614" s="1"/>
      <c r="K614" s="1"/>
      <c r="L614" s="1"/>
    </row>
    <row r="615" spans="1:12" ht="17.25">
      <c r="A615" s="16" t="s">
        <v>68</v>
      </c>
      <c r="B615" s="92">
        <f>B600+B607+B614</f>
        <v>661694.57999999996</v>
      </c>
      <c r="C615" s="92">
        <f>C600+C607+C614</f>
        <v>642330.62</v>
      </c>
      <c r="D615" s="92">
        <f>D600+D607+D614</f>
        <v>509020</v>
      </c>
      <c r="E615" s="92">
        <f>E600+E607+E614</f>
        <v>485000</v>
      </c>
      <c r="F615" s="88"/>
      <c r="G615" s="92">
        <f>G600+G607+G614</f>
        <v>473200</v>
      </c>
      <c r="H615" s="1"/>
      <c r="I615" s="1"/>
      <c r="J615" s="1"/>
      <c r="K615" s="1"/>
      <c r="L615" s="1"/>
    </row>
    <row r="616" spans="1:12" ht="17.25">
      <c r="A616" s="21" t="s">
        <v>69</v>
      </c>
      <c r="B616" s="83"/>
      <c r="C616" s="83"/>
      <c r="D616" s="83"/>
      <c r="E616" s="83"/>
      <c r="F616" s="164"/>
      <c r="G616" s="83"/>
      <c r="H616" s="1"/>
      <c r="I616" s="1"/>
      <c r="J616" s="1"/>
      <c r="K616" s="1"/>
      <c r="L616" s="1"/>
    </row>
    <row r="617" spans="1:12" ht="17.25">
      <c r="A617" s="21" t="s">
        <v>70</v>
      </c>
      <c r="B617" s="65"/>
      <c r="C617" s="65"/>
      <c r="D617" s="65"/>
      <c r="E617" s="65"/>
      <c r="F617" s="176"/>
      <c r="G617" s="65"/>
      <c r="H617" s="1"/>
      <c r="I617" s="1"/>
      <c r="J617" s="1"/>
      <c r="K617" s="1"/>
      <c r="L617" s="1"/>
    </row>
    <row r="618" spans="1:12" ht="17.25">
      <c r="A618" s="22" t="s">
        <v>116</v>
      </c>
      <c r="B618" s="66"/>
      <c r="C618" s="66"/>
      <c r="D618" s="66"/>
      <c r="E618" s="66"/>
      <c r="F618" s="166"/>
      <c r="G618" s="66"/>
      <c r="H618" s="1"/>
      <c r="I618" s="1"/>
      <c r="J618" s="1"/>
      <c r="K618" s="1"/>
      <c r="L618" s="1"/>
    </row>
    <row r="619" spans="1:12" ht="17.25">
      <c r="A619" s="22" t="s">
        <v>619</v>
      </c>
      <c r="B619" s="66">
        <v>0</v>
      </c>
      <c r="C619" s="66">
        <v>0</v>
      </c>
      <c r="D619" s="66">
        <v>0</v>
      </c>
      <c r="E619" s="66">
        <v>3000</v>
      </c>
      <c r="F619" s="172">
        <v>1</v>
      </c>
      <c r="G619" s="66">
        <v>3600</v>
      </c>
      <c r="H619" s="1"/>
      <c r="I619" s="1"/>
      <c r="J619" s="1"/>
      <c r="K619" s="1"/>
      <c r="L619" s="1"/>
    </row>
    <row r="620" spans="1:12" ht="17.25">
      <c r="A620" s="22" t="s">
        <v>620</v>
      </c>
      <c r="B620" s="66">
        <v>0</v>
      </c>
      <c r="C620" s="66">
        <v>0</v>
      </c>
      <c r="D620" s="66">
        <v>0</v>
      </c>
      <c r="E620" s="66">
        <v>0</v>
      </c>
      <c r="F620" s="172">
        <v>1</v>
      </c>
      <c r="G620" s="66">
        <v>1000</v>
      </c>
      <c r="H620" s="1"/>
      <c r="I620" s="1"/>
      <c r="J620" s="1"/>
      <c r="K620" s="1"/>
      <c r="L620" s="1"/>
    </row>
    <row r="621" spans="1:12" ht="17.25">
      <c r="A621" s="22" t="s">
        <v>659</v>
      </c>
      <c r="B621" s="66">
        <v>0</v>
      </c>
      <c r="C621" s="66">
        <v>0</v>
      </c>
      <c r="D621" s="66">
        <v>0</v>
      </c>
      <c r="E621" s="66">
        <v>12000</v>
      </c>
      <c r="F621" s="191">
        <v>-1</v>
      </c>
      <c r="G621" s="66">
        <v>0</v>
      </c>
      <c r="H621" s="1"/>
      <c r="I621" s="1"/>
      <c r="J621" s="1"/>
      <c r="K621" s="1"/>
      <c r="L621" s="1"/>
    </row>
    <row r="622" spans="1:12" ht="17.25">
      <c r="A622" s="22" t="s">
        <v>116</v>
      </c>
      <c r="B622" s="66"/>
      <c r="C622" s="66"/>
      <c r="D622" s="66"/>
      <c r="E622" s="66"/>
      <c r="F622" s="172"/>
      <c r="G622" s="66"/>
      <c r="H622" s="1"/>
      <c r="I622" s="1"/>
      <c r="J622" s="1"/>
      <c r="K622" s="1"/>
      <c r="L622" s="1"/>
    </row>
    <row r="623" spans="1:12" ht="17.25">
      <c r="A623" s="22" t="s">
        <v>621</v>
      </c>
      <c r="B623" s="66">
        <v>0</v>
      </c>
      <c r="C623" s="66">
        <v>0</v>
      </c>
      <c r="D623" s="66">
        <v>0</v>
      </c>
      <c r="E623" s="66">
        <v>0</v>
      </c>
      <c r="F623" s="172">
        <v>1</v>
      </c>
      <c r="G623" s="66">
        <v>16000</v>
      </c>
      <c r="H623" s="1"/>
      <c r="I623" s="1"/>
      <c r="J623" s="1"/>
      <c r="K623" s="1"/>
      <c r="L623" s="1"/>
    </row>
    <row r="624" spans="1:12" ht="17.25">
      <c r="A624" s="22" t="s">
        <v>127</v>
      </c>
      <c r="B624" s="66">
        <v>49295</v>
      </c>
      <c r="C624" s="66">
        <v>51238.44</v>
      </c>
      <c r="D624" s="66">
        <v>25344.52</v>
      </c>
      <c r="E624" s="66">
        <v>50000</v>
      </c>
      <c r="F624" s="105" t="s">
        <v>507</v>
      </c>
      <c r="G624" s="66">
        <v>0</v>
      </c>
      <c r="H624" s="1"/>
      <c r="I624" s="1"/>
      <c r="J624" s="1"/>
      <c r="K624" s="1"/>
      <c r="L624" s="1"/>
    </row>
    <row r="625" spans="1:13" ht="17.25">
      <c r="A625" s="16" t="s">
        <v>82</v>
      </c>
      <c r="B625" s="97">
        <v>49295</v>
      </c>
      <c r="C625" s="97">
        <v>51238.44</v>
      </c>
      <c r="D625" s="97">
        <f>D624</f>
        <v>25344.52</v>
      </c>
      <c r="E625" s="97">
        <f>E619+E621+E624</f>
        <v>65000</v>
      </c>
      <c r="F625" s="98"/>
      <c r="G625" s="97">
        <f>G619+G620+G622+G623</f>
        <v>20600</v>
      </c>
    </row>
    <row r="626" spans="1:13" ht="17.25">
      <c r="A626" s="37" t="s">
        <v>88</v>
      </c>
      <c r="B626" s="93">
        <v>49295</v>
      </c>
      <c r="C626" s="93">
        <v>51238.44</v>
      </c>
      <c r="D626" s="93">
        <f>D625</f>
        <v>25344.52</v>
      </c>
      <c r="E626" s="93">
        <f>E625</f>
        <v>65000</v>
      </c>
      <c r="F626" s="73"/>
      <c r="G626" s="93">
        <f>G625</f>
        <v>20600</v>
      </c>
    </row>
    <row r="627" spans="1:13" ht="17.25">
      <c r="A627" s="16" t="s">
        <v>206</v>
      </c>
      <c r="B627" s="92">
        <f>B592+B615+B626</f>
        <v>1984989.58</v>
      </c>
      <c r="C627" s="92">
        <f>C592+C615+C626</f>
        <v>2270509.06</v>
      </c>
      <c r="D627" s="92">
        <f>D592+D615+D626</f>
        <v>2159364.85</v>
      </c>
      <c r="E627" s="92">
        <f>E592+E615+E626</f>
        <v>2194240</v>
      </c>
      <c r="F627" s="88"/>
      <c r="G627" s="92">
        <f>G592+G615+G626</f>
        <v>2543000</v>
      </c>
    </row>
    <row r="628" spans="1:13" ht="17.25">
      <c r="A628" s="21" t="s">
        <v>207</v>
      </c>
      <c r="B628" s="65"/>
      <c r="C628" s="65"/>
      <c r="D628" s="65"/>
      <c r="E628" s="65"/>
      <c r="F628" s="176"/>
      <c r="G628" s="65"/>
    </row>
    <row r="629" spans="1:13" ht="17.25">
      <c r="A629" s="21" t="s">
        <v>33</v>
      </c>
      <c r="B629" s="66"/>
      <c r="C629" s="66"/>
      <c r="D629" s="66"/>
      <c r="E629" s="66"/>
      <c r="F629" s="166"/>
      <c r="G629" s="66"/>
    </row>
    <row r="630" spans="1:13" ht="17.25">
      <c r="A630" s="21" t="s">
        <v>41</v>
      </c>
      <c r="B630" s="66"/>
      <c r="C630" s="66"/>
      <c r="D630" s="66"/>
      <c r="E630" s="66"/>
      <c r="F630" s="166"/>
      <c r="G630" s="66"/>
    </row>
    <row r="631" spans="1:13" ht="17.25">
      <c r="A631" s="22" t="s">
        <v>42</v>
      </c>
      <c r="B631" s="66">
        <v>0</v>
      </c>
      <c r="C631" s="66">
        <v>0</v>
      </c>
      <c r="D631" s="66">
        <v>0</v>
      </c>
      <c r="E631" s="66">
        <v>79000</v>
      </c>
      <c r="F631" s="172">
        <v>1</v>
      </c>
      <c r="G631" s="66">
        <v>15000</v>
      </c>
    </row>
    <row r="632" spans="1:13" ht="17.25">
      <c r="A632" s="24" t="s">
        <v>49</v>
      </c>
      <c r="B632" s="66">
        <v>0</v>
      </c>
      <c r="C632" s="66">
        <v>0</v>
      </c>
      <c r="D632" s="66">
        <v>0</v>
      </c>
      <c r="E632" s="66">
        <v>15000</v>
      </c>
      <c r="F632" s="95">
        <v>-0.33329999999999999</v>
      </c>
      <c r="G632" s="66">
        <v>10000</v>
      </c>
    </row>
    <row r="633" spans="1:13" ht="17.25">
      <c r="A633" s="32" t="s">
        <v>50</v>
      </c>
      <c r="B633" s="102">
        <v>0</v>
      </c>
      <c r="C633" s="102">
        <v>0</v>
      </c>
      <c r="D633" s="102">
        <v>0</v>
      </c>
      <c r="E633" s="102">
        <f>E631+E632</f>
        <v>94000</v>
      </c>
      <c r="F633" s="101"/>
      <c r="G633" s="102">
        <f>G631+G632</f>
        <v>25000</v>
      </c>
    </row>
    <row r="634" spans="1:13" ht="17.25">
      <c r="A634" s="21" t="s">
        <v>51</v>
      </c>
      <c r="B634" s="92"/>
      <c r="C634" s="92"/>
      <c r="D634" s="92"/>
      <c r="E634" s="92"/>
      <c r="F634" s="88"/>
      <c r="G634" s="92"/>
    </row>
    <row r="635" spans="1:13" s="7" customFormat="1" ht="17.25">
      <c r="A635" s="22" t="s">
        <v>53</v>
      </c>
      <c r="B635" s="65">
        <v>7743</v>
      </c>
      <c r="C635" s="65">
        <v>71931</v>
      </c>
      <c r="D635" s="65">
        <f>110000-20000</f>
        <v>90000</v>
      </c>
      <c r="E635" s="65">
        <v>90000</v>
      </c>
      <c r="F635" s="127">
        <v>-0.33329999999999999</v>
      </c>
      <c r="G635" s="65">
        <v>60000</v>
      </c>
      <c r="H635" s="1"/>
      <c r="I635" s="1"/>
      <c r="J635" s="1"/>
      <c r="K635" s="1"/>
      <c r="L635" s="1"/>
      <c r="M635" s="1"/>
    </row>
    <row r="636" spans="1:13" s="7" customFormat="1" ht="17.25">
      <c r="A636" s="22" t="s">
        <v>55</v>
      </c>
      <c r="B636" s="65">
        <v>0</v>
      </c>
      <c r="C636" s="65">
        <v>0</v>
      </c>
      <c r="D636" s="65">
        <v>0</v>
      </c>
      <c r="E636" s="65">
        <v>31470</v>
      </c>
      <c r="F636" s="127">
        <v>0.90659999999999996</v>
      </c>
      <c r="G636" s="65">
        <v>60000</v>
      </c>
      <c r="H636" s="1"/>
      <c r="I636" s="1"/>
      <c r="J636" s="1"/>
      <c r="K636" s="1"/>
      <c r="L636" s="1"/>
      <c r="M636" s="1"/>
    </row>
    <row r="637" spans="1:13" s="7" customFormat="1" ht="17.25">
      <c r="A637" s="22" t="s">
        <v>56</v>
      </c>
      <c r="B637" s="65">
        <v>0</v>
      </c>
      <c r="C637" s="65">
        <v>0</v>
      </c>
      <c r="D637" s="65">
        <f>12000-5100</f>
        <v>6900</v>
      </c>
      <c r="E637" s="65">
        <v>15000</v>
      </c>
      <c r="F637" s="119">
        <v>0.33329999999999999</v>
      </c>
      <c r="G637" s="65">
        <v>20000</v>
      </c>
      <c r="H637" s="1"/>
      <c r="I637" s="1"/>
      <c r="J637" s="1"/>
      <c r="K637" s="1"/>
      <c r="L637" s="1"/>
      <c r="M637" s="1"/>
    </row>
    <row r="638" spans="1:13" s="7" customFormat="1" ht="17.25">
      <c r="A638" s="24" t="s">
        <v>57</v>
      </c>
      <c r="B638" s="65">
        <v>0</v>
      </c>
      <c r="C638" s="65">
        <v>0</v>
      </c>
      <c r="D638" s="65">
        <v>40000</v>
      </c>
      <c r="E638" s="65">
        <v>40000</v>
      </c>
      <c r="F638" s="62">
        <v>-0.375</v>
      </c>
      <c r="G638" s="65">
        <v>25000</v>
      </c>
      <c r="H638" s="1"/>
      <c r="I638" s="1"/>
      <c r="J638" s="1"/>
      <c r="K638" s="1"/>
      <c r="L638" s="1"/>
      <c r="M638" s="1"/>
    </row>
    <row r="639" spans="1:13" s="7" customFormat="1" ht="17.25">
      <c r="A639" s="32" t="s">
        <v>60</v>
      </c>
      <c r="B639" s="92">
        <f>SUM(B635:B638)</f>
        <v>7743</v>
      </c>
      <c r="C639" s="92">
        <f>SUM(C635:C638)</f>
        <v>71931</v>
      </c>
      <c r="D639" s="92">
        <f>SUM(D635:D638)</f>
        <v>136900</v>
      </c>
      <c r="E639" s="92">
        <f>SUM(E635:E638)</f>
        <v>176470</v>
      </c>
      <c r="F639" s="88"/>
      <c r="G639" s="92">
        <f>SUM(G635:G638)</f>
        <v>165000</v>
      </c>
      <c r="H639" s="1"/>
      <c r="I639" s="1"/>
      <c r="J639" s="1"/>
      <c r="K639" s="1"/>
      <c r="L639" s="1"/>
      <c r="M639" s="1"/>
    </row>
    <row r="640" spans="1:13" s="7" customFormat="1" ht="17.25">
      <c r="A640" s="32" t="s">
        <v>68</v>
      </c>
      <c r="B640" s="102">
        <v>7743</v>
      </c>
      <c r="C640" s="102">
        <f>C639</f>
        <v>71931</v>
      </c>
      <c r="D640" s="102">
        <f>D639</f>
        <v>136900</v>
      </c>
      <c r="E640" s="102">
        <f>E633+E639</f>
        <v>270470</v>
      </c>
      <c r="F640" s="101"/>
      <c r="G640" s="102">
        <f>G633+G639</f>
        <v>190000</v>
      </c>
      <c r="H640" s="1"/>
      <c r="I640" s="1"/>
      <c r="J640" s="1"/>
      <c r="K640" s="1"/>
      <c r="L640" s="1"/>
      <c r="M640" s="1"/>
    </row>
    <row r="641" spans="1:13" s="7" customFormat="1" ht="17.25">
      <c r="A641" s="23" t="s">
        <v>69</v>
      </c>
      <c r="B641" s="19"/>
      <c r="C641" s="19"/>
      <c r="D641" s="19"/>
      <c r="E641" s="19"/>
      <c r="F641" s="53"/>
      <c r="G641" s="19"/>
      <c r="H641" s="1"/>
      <c r="I641" s="1"/>
      <c r="J641" s="1"/>
      <c r="K641" s="1"/>
      <c r="L641" s="1"/>
      <c r="M641" s="1"/>
    </row>
    <row r="642" spans="1:13" s="7" customFormat="1" ht="17.25">
      <c r="A642" s="38" t="s">
        <v>70</v>
      </c>
      <c r="B642" s="18"/>
      <c r="C642" s="18"/>
      <c r="D642" s="18"/>
      <c r="E642" s="18"/>
      <c r="F642" s="173"/>
      <c r="G642" s="18"/>
      <c r="H642" s="1"/>
      <c r="I642" s="1"/>
      <c r="J642" s="1"/>
      <c r="K642" s="1"/>
      <c r="L642" s="1"/>
      <c r="M642" s="1"/>
    </row>
    <row r="643" spans="1:13" s="7" customFormat="1" ht="17.25">
      <c r="A643" s="22" t="s">
        <v>127</v>
      </c>
      <c r="B643" s="65">
        <v>0</v>
      </c>
      <c r="C643" s="65">
        <v>0</v>
      </c>
      <c r="D643" s="65">
        <v>10000</v>
      </c>
      <c r="E643" s="65">
        <v>75000</v>
      </c>
      <c r="F643" s="59">
        <v>1</v>
      </c>
      <c r="G643" s="65">
        <v>55000</v>
      </c>
      <c r="H643" s="1"/>
      <c r="I643" s="1"/>
      <c r="J643" s="1"/>
      <c r="K643" s="1"/>
      <c r="L643" s="1"/>
      <c r="M643" s="1"/>
    </row>
    <row r="644" spans="1:13" s="7" customFormat="1" ht="17.25">
      <c r="A644" s="16" t="s">
        <v>82</v>
      </c>
      <c r="B644" s="92">
        <v>0</v>
      </c>
      <c r="C644" s="92">
        <v>0</v>
      </c>
      <c r="D644" s="92">
        <f>D643</f>
        <v>10000</v>
      </c>
      <c r="E644" s="92">
        <f>E643</f>
        <v>75000</v>
      </c>
      <c r="F644" s="88"/>
      <c r="G644" s="92">
        <f>G643</f>
        <v>55000</v>
      </c>
      <c r="H644" s="1"/>
      <c r="I644" s="1"/>
      <c r="J644" s="1"/>
      <c r="K644" s="1"/>
      <c r="L644" s="1"/>
      <c r="M644" s="1"/>
    </row>
    <row r="645" spans="1:13" s="7" customFormat="1" ht="17.25">
      <c r="A645" s="21" t="s">
        <v>152</v>
      </c>
      <c r="B645" s="83"/>
      <c r="C645" s="83"/>
      <c r="D645" s="83"/>
      <c r="E645" s="83"/>
      <c r="F645" s="164"/>
      <c r="G645" s="83"/>
      <c r="H645" s="1"/>
      <c r="I645" s="1"/>
      <c r="J645" s="1"/>
      <c r="K645" s="1"/>
      <c r="L645" s="1"/>
      <c r="M645" s="1"/>
    </row>
    <row r="646" spans="1:13" s="7" customFormat="1" ht="17.25">
      <c r="A646" s="22" t="s">
        <v>622</v>
      </c>
      <c r="B646" s="83"/>
      <c r="C646" s="83"/>
      <c r="D646" s="83"/>
      <c r="E646" s="83"/>
      <c r="F646" s="180"/>
      <c r="G646" s="83"/>
      <c r="H646" s="1"/>
      <c r="I646" s="1"/>
      <c r="J646" s="1"/>
      <c r="K646" s="1"/>
      <c r="L646" s="1"/>
      <c r="M646" s="1"/>
    </row>
    <row r="647" spans="1:13" s="7" customFormat="1" ht="17.25">
      <c r="A647" s="27" t="s">
        <v>623</v>
      </c>
      <c r="B647" s="83">
        <v>0</v>
      </c>
      <c r="C647" s="83">
        <v>0</v>
      </c>
      <c r="D647" s="83">
        <v>0</v>
      </c>
      <c r="E647" s="83">
        <v>0</v>
      </c>
      <c r="F647" s="182">
        <v>1</v>
      </c>
      <c r="G647" s="83">
        <v>20000</v>
      </c>
      <c r="H647" s="1"/>
      <c r="I647" s="1"/>
      <c r="J647" s="1"/>
      <c r="K647" s="1"/>
      <c r="L647" s="1"/>
      <c r="M647" s="1"/>
    </row>
    <row r="648" spans="1:13" s="7" customFormat="1" ht="17.25">
      <c r="A648" s="26" t="s">
        <v>156</v>
      </c>
      <c r="B648" s="65"/>
      <c r="C648" s="65"/>
      <c r="D648" s="65"/>
      <c r="E648" s="65"/>
      <c r="F648" s="176"/>
      <c r="G648" s="65"/>
      <c r="H648" s="1"/>
      <c r="I648" s="1"/>
      <c r="J648" s="1"/>
      <c r="K648" s="1"/>
      <c r="L648" s="1"/>
      <c r="M648" s="1"/>
    </row>
    <row r="649" spans="1:13" s="7" customFormat="1" ht="17.25">
      <c r="A649" s="27" t="s">
        <v>510</v>
      </c>
      <c r="B649" s="200">
        <v>0</v>
      </c>
      <c r="C649" s="200">
        <v>0</v>
      </c>
      <c r="D649" s="200">
        <v>0</v>
      </c>
      <c r="E649" s="226">
        <v>190000</v>
      </c>
      <c r="F649" s="203">
        <v>-1</v>
      </c>
      <c r="G649" s="200">
        <v>0</v>
      </c>
      <c r="H649" s="1"/>
      <c r="I649" s="1"/>
      <c r="J649" s="1"/>
      <c r="K649" s="1"/>
      <c r="L649" s="1"/>
      <c r="M649" s="1"/>
    </row>
    <row r="650" spans="1:13" s="7" customFormat="1" ht="17.25">
      <c r="A650" s="24" t="s">
        <v>662</v>
      </c>
      <c r="B650" s="201"/>
      <c r="C650" s="201"/>
      <c r="D650" s="201"/>
      <c r="E650" s="227"/>
      <c r="F650" s="201"/>
      <c r="G650" s="201"/>
      <c r="H650" s="1"/>
      <c r="I650" s="1"/>
      <c r="J650" s="1"/>
      <c r="K650" s="1"/>
      <c r="L650" s="1"/>
    </row>
    <row r="651" spans="1:13" s="7" customFormat="1" ht="17.25">
      <c r="A651" s="27" t="s">
        <v>510</v>
      </c>
      <c r="B651" s="200">
        <v>0</v>
      </c>
      <c r="C651" s="200">
        <v>0</v>
      </c>
      <c r="D651" s="200">
        <v>0</v>
      </c>
      <c r="E651" s="226">
        <v>31500</v>
      </c>
      <c r="F651" s="203">
        <v>-1</v>
      </c>
      <c r="G651" s="200">
        <v>0</v>
      </c>
      <c r="H651" s="1"/>
      <c r="I651" s="1"/>
      <c r="J651" s="1"/>
      <c r="K651" s="1"/>
      <c r="L651" s="1"/>
      <c r="M651" s="1"/>
    </row>
    <row r="652" spans="1:13" s="7" customFormat="1" ht="17.25">
      <c r="A652" s="24" t="s">
        <v>512</v>
      </c>
      <c r="B652" s="201"/>
      <c r="C652" s="201"/>
      <c r="D652" s="201"/>
      <c r="E652" s="227"/>
      <c r="F652" s="201"/>
      <c r="G652" s="201"/>
      <c r="H652" s="1"/>
      <c r="I652" s="1"/>
      <c r="J652" s="1"/>
      <c r="K652" s="1"/>
      <c r="L652" s="1"/>
    </row>
    <row r="653" spans="1:13" s="7" customFormat="1" ht="17.25">
      <c r="A653" s="27" t="s">
        <v>510</v>
      </c>
      <c r="B653" s="200">
        <v>0</v>
      </c>
      <c r="C653" s="200">
        <v>0</v>
      </c>
      <c r="D653" s="200">
        <v>0</v>
      </c>
      <c r="E653" s="226">
        <v>67000</v>
      </c>
      <c r="F653" s="203">
        <v>-1</v>
      </c>
      <c r="G653" s="200">
        <v>0</v>
      </c>
      <c r="H653" s="1"/>
      <c r="I653" s="1"/>
      <c r="J653" s="1"/>
      <c r="K653" s="1"/>
      <c r="L653" s="1"/>
      <c r="M653" s="1"/>
    </row>
    <row r="654" spans="1:13" s="7" customFormat="1" ht="17.25">
      <c r="A654" s="24" t="s">
        <v>513</v>
      </c>
      <c r="B654" s="201"/>
      <c r="C654" s="201"/>
      <c r="D654" s="201"/>
      <c r="E654" s="227"/>
      <c r="F654" s="201"/>
      <c r="G654" s="201"/>
      <c r="H654" s="1"/>
      <c r="I654" s="1"/>
      <c r="J654" s="1"/>
      <c r="K654" s="1"/>
      <c r="L654" s="1"/>
    </row>
    <row r="655" spans="1:13" s="7" customFormat="1" ht="17.25">
      <c r="A655" s="27" t="s">
        <v>510</v>
      </c>
      <c r="B655" s="200">
        <v>0</v>
      </c>
      <c r="C655" s="200">
        <v>0</v>
      </c>
      <c r="D655" s="200">
        <v>0</v>
      </c>
      <c r="E655" s="226">
        <v>500000</v>
      </c>
      <c r="F655" s="203">
        <v>-1</v>
      </c>
      <c r="G655" s="200">
        <v>0</v>
      </c>
      <c r="H655" s="1"/>
      <c r="I655" s="1"/>
      <c r="J655" s="1"/>
      <c r="K655" s="1"/>
      <c r="L655" s="1"/>
      <c r="M655" s="1"/>
    </row>
    <row r="656" spans="1:13" s="7" customFormat="1" ht="17.25">
      <c r="A656" s="24" t="s">
        <v>514</v>
      </c>
      <c r="B656" s="201"/>
      <c r="C656" s="201"/>
      <c r="D656" s="201"/>
      <c r="E656" s="227"/>
      <c r="F656" s="201"/>
      <c r="G656" s="201"/>
      <c r="H656" s="1"/>
      <c r="I656" s="1"/>
      <c r="J656" s="1"/>
      <c r="K656" s="1"/>
      <c r="L656" s="1"/>
    </row>
    <row r="657" spans="1:13" s="7" customFormat="1" ht="17.25">
      <c r="A657" s="27" t="s">
        <v>510</v>
      </c>
      <c r="B657" s="200">
        <v>0</v>
      </c>
      <c r="C657" s="200">
        <v>0</v>
      </c>
      <c r="D657" s="200">
        <v>0</v>
      </c>
      <c r="E657" s="226">
        <v>24000</v>
      </c>
      <c r="F657" s="203">
        <v>-1</v>
      </c>
      <c r="G657" s="200">
        <v>0</v>
      </c>
      <c r="H657" s="1"/>
      <c r="I657" s="1"/>
      <c r="J657" s="1"/>
      <c r="K657" s="1"/>
      <c r="L657" s="1"/>
      <c r="M657" s="1"/>
    </row>
    <row r="658" spans="1:13" s="7" customFormat="1" ht="17.25">
      <c r="A658" s="24" t="s">
        <v>515</v>
      </c>
      <c r="B658" s="201"/>
      <c r="C658" s="201"/>
      <c r="D658" s="201"/>
      <c r="E658" s="227"/>
      <c r="F658" s="201"/>
      <c r="G658" s="201"/>
      <c r="H658" s="1"/>
      <c r="I658" s="1"/>
      <c r="J658" s="1"/>
      <c r="K658" s="1"/>
      <c r="L658" s="1"/>
    </row>
    <row r="659" spans="1:13" s="7" customFormat="1" ht="17.25">
      <c r="A659" s="27" t="s">
        <v>510</v>
      </c>
      <c r="B659" s="200">
        <v>0</v>
      </c>
      <c r="C659" s="200">
        <v>0</v>
      </c>
      <c r="D659" s="200">
        <v>0</v>
      </c>
      <c r="E659" s="226">
        <v>120000</v>
      </c>
      <c r="F659" s="203">
        <v>-1</v>
      </c>
      <c r="G659" s="200">
        <v>0</v>
      </c>
      <c r="H659" s="1"/>
      <c r="I659" s="1"/>
      <c r="J659" s="1"/>
      <c r="K659" s="1"/>
      <c r="L659" s="1"/>
      <c r="M659" s="1"/>
    </row>
    <row r="660" spans="1:13" s="7" customFormat="1" ht="17.25">
      <c r="A660" s="26" t="s">
        <v>516</v>
      </c>
      <c r="B660" s="201"/>
      <c r="C660" s="201"/>
      <c r="D660" s="201"/>
      <c r="E660" s="227"/>
      <c r="F660" s="204"/>
      <c r="G660" s="201"/>
      <c r="H660" s="1"/>
      <c r="I660" s="1"/>
      <c r="J660" s="1"/>
      <c r="K660" s="1"/>
      <c r="L660" s="1"/>
      <c r="M660" s="1"/>
    </row>
    <row r="661" spans="1:13" s="7" customFormat="1" ht="17.25">
      <c r="A661" s="26" t="s">
        <v>517</v>
      </c>
      <c r="B661" s="201"/>
      <c r="C661" s="201"/>
      <c r="D661" s="201"/>
      <c r="E661" s="227"/>
      <c r="F661" s="204"/>
      <c r="G661" s="201"/>
      <c r="H661" s="1"/>
      <c r="I661" s="1"/>
      <c r="J661" s="1"/>
      <c r="K661" s="1"/>
      <c r="L661" s="1"/>
      <c r="M661" s="1"/>
    </row>
    <row r="662" spans="1:13" s="7" customFormat="1" ht="17.25">
      <c r="A662" s="26" t="s">
        <v>329</v>
      </c>
      <c r="B662" s="201"/>
      <c r="C662" s="201"/>
      <c r="D662" s="201"/>
      <c r="E662" s="227"/>
      <c r="F662" s="201"/>
      <c r="G662" s="201"/>
      <c r="H662" s="1"/>
      <c r="I662" s="1"/>
      <c r="J662" s="1"/>
      <c r="K662" s="1"/>
      <c r="L662" s="1"/>
    </row>
    <row r="663" spans="1:13" s="7" customFormat="1" ht="17.25">
      <c r="A663" s="27" t="s">
        <v>518</v>
      </c>
      <c r="B663" s="200">
        <v>0</v>
      </c>
      <c r="C663" s="200">
        <v>0</v>
      </c>
      <c r="D663" s="200">
        <v>0</v>
      </c>
      <c r="E663" s="226">
        <v>10000</v>
      </c>
      <c r="F663" s="203">
        <v>-1</v>
      </c>
      <c r="G663" s="200">
        <v>0</v>
      </c>
      <c r="H663" s="1"/>
      <c r="I663" s="1"/>
      <c r="J663" s="1"/>
      <c r="K663" s="1"/>
      <c r="L663" s="1"/>
      <c r="M663" s="1"/>
    </row>
    <row r="664" spans="1:13" s="7" customFormat="1" ht="17.25">
      <c r="A664" s="24" t="s">
        <v>519</v>
      </c>
      <c r="B664" s="201"/>
      <c r="C664" s="201"/>
      <c r="D664" s="201"/>
      <c r="E664" s="227"/>
      <c r="F664" s="201"/>
      <c r="G664" s="201"/>
      <c r="H664" s="1"/>
      <c r="I664" s="1"/>
      <c r="J664" s="1"/>
      <c r="K664" s="1"/>
      <c r="L664" s="1"/>
    </row>
    <row r="665" spans="1:13" s="7" customFormat="1" ht="17.25">
      <c r="A665" s="27" t="s">
        <v>520</v>
      </c>
      <c r="B665" s="200">
        <v>0</v>
      </c>
      <c r="C665" s="200">
        <v>0</v>
      </c>
      <c r="D665" s="200">
        <v>0</v>
      </c>
      <c r="E665" s="226">
        <v>130000</v>
      </c>
      <c r="F665" s="203">
        <v>-1</v>
      </c>
      <c r="G665" s="200">
        <v>0</v>
      </c>
      <c r="H665" s="1"/>
      <c r="I665" s="1"/>
      <c r="J665" s="1"/>
      <c r="K665" s="1"/>
      <c r="L665" s="1"/>
      <c r="M665" s="1"/>
    </row>
    <row r="666" spans="1:13" s="7" customFormat="1" ht="17.25">
      <c r="A666" s="26" t="s">
        <v>521</v>
      </c>
      <c r="B666" s="201"/>
      <c r="C666" s="201"/>
      <c r="D666" s="201"/>
      <c r="E666" s="227"/>
      <c r="F666" s="204"/>
      <c r="G666" s="201"/>
      <c r="H666" s="1"/>
      <c r="I666" s="1"/>
      <c r="J666" s="1"/>
      <c r="K666" s="1"/>
      <c r="L666" s="1"/>
      <c r="M666" s="1"/>
    </row>
    <row r="667" spans="1:13" s="7" customFormat="1" ht="17.25">
      <c r="A667" s="24" t="s">
        <v>522</v>
      </c>
      <c r="B667" s="201"/>
      <c r="C667" s="201"/>
      <c r="D667" s="201"/>
      <c r="E667" s="227"/>
      <c r="F667" s="201"/>
      <c r="G667" s="201"/>
      <c r="H667" s="1"/>
      <c r="I667" s="1"/>
      <c r="J667" s="1"/>
      <c r="K667" s="1"/>
      <c r="L667" s="1"/>
    </row>
    <row r="668" spans="1:13" s="7" customFormat="1" ht="17.25">
      <c r="A668" s="27" t="s">
        <v>523</v>
      </c>
      <c r="B668" s="200">
        <v>0</v>
      </c>
      <c r="C668" s="200">
        <v>0</v>
      </c>
      <c r="D668" s="200">
        <v>0</v>
      </c>
      <c r="E668" s="226">
        <v>199000</v>
      </c>
      <c r="F668" s="203">
        <v>-1</v>
      </c>
      <c r="G668" s="200">
        <v>0</v>
      </c>
      <c r="H668" s="1"/>
      <c r="I668" s="1"/>
      <c r="J668" s="1"/>
      <c r="K668" s="1"/>
      <c r="L668" s="1"/>
      <c r="M668" s="1"/>
    </row>
    <row r="669" spans="1:13" s="7" customFormat="1" ht="17.25">
      <c r="A669" s="24" t="s">
        <v>524</v>
      </c>
      <c r="B669" s="201"/>
      <c r="C669" s="201"/>
      <c r="D669" s="201"/>
      <c r="E669" s="227"/>
      <c r="F669" s="201"/>
      <c r="G669" s="201"/>
      <c r="H669" s="1"/>
      <c r="I669" s="1"/>
      <c r="J669" s="1"/>
      <c r="K669" s="1"/>
      <c r="L669" s="1"/>
    </row>
    <row r="670" spans="1:13" s="7" customFormat="1" ht="17.25">
      <c r="A670" s="27" t="s">
        <v>525</v>
      </c>
      <c r="B670" s="200">
        <v>0</v>
      </c>
      <c r="C670" s="200">
        <v>0</v>
      </c>
      <c r="D670" s="200">
        <v>0</v>
      </c>
      <c r="E670" s="226">
        <v>0</v>
      </c>
      <c r="F670" s="203">
        <v>0</v>
      </c>
      <c r="G670" s="200">
        <v>0</v>
      </c>
      <c r="H670" s="1"/>
      <c r="I670" s="1"/>
      <c r="J670" s="1"/>
      <c r="K670" s="1"/>
      <c r="L670" s="1"/>
      <c r="M670" s="1"/>
    </row>
    <row r="671" spans="1:13" s="7" customFormat="1" ht="17.25">
      <c r="A671" s="26" t="s">
        <v>526</v>
      </c>
      <c r="B671" s="201"/>
      <c r="C671" s="201"/>
      <c r="D671" s="201"/>
      <c r="E671" s="227"/>
      <c r="F671" s="204"/>
      <c r="G671" s="201"/>
      <c r="H671" s="1"/>
      <c r="I671" s="1"/>
      <c r="J671" s="1"/>
      <c r="K671" s="1"/>
      <c r="L671" s="1"/>
      <c r="M671" s="1"/>
    </row>
    <row r="672" spans="1:13" s="7" customFormat="1" ht="17.25">
      <c r="A672" s="24" t="s">
        <v>527</v>
      </c>
      <c r="B672" s="201"/>
      <c r="C672" s="201"/>
      <c r="D672" s="201"/>
      <c r="E672" s="227"/>
      <c r="F672" s="201"/>
      <c r="G672" s="201"/>
      <c r="H672" s="1"/>
      <c r="I672" s="1"/>
      <c r="J672" s="1"/>
      <c r="K672" s="1"/>
      <c r="L672" s="1"/>
    </row>
    <row r="673" spans="1:13" s="7" customFormat="1" ht="17.25">
      <c r="A673" s="27" t="s">
        <v>528</v>
      </c>
      <c r="B673" s="200">
        <v>0</v>
      </c>
      <c r="C673" s="200">
        <v>0</v>
      </c>
      <c r="D673" s="200">
        <v>0</v>
      </c>
      <c r="E673" s="200">
        <v>200000</v>
      </c>
      <c r="F673" s="203">
        <v>1</v>
      </c>
      <c r="G673" s="200">
        <v>0</v>
      </c>
      <c r="H673" s="1"/>
      <c r="I673" s="1"/>
      <c r="J673" s="1"/>
      <c r="K673" s="1"/>
      <c r="L673" s="1"/>
      <c r="M673" s="1"/>
    </row>
    <row r="674" spans="1:13" s="7" customFormat="1" ht="17.25">
      <c r="A674" s="26" t="s">
        <v>529</v>
      </c>
      <c r="B674" s="201"/>
      <c r="C674" s="201"/>
      <c r="D674" s="201"/>
      <c r="E674" s="201"/>
      <c r="F674" s="204"/>
      <c r="G674" s="201"/>
      <c r="H674" s="1"/>
      <c r="I674" s="1"/>
      <c r="J674" s="1"/>
      <c r="K674" s="1"/>
      <c r="L674" s="1"/>
      <c r="M674" s="1"/>
    </row>
    <row r="675" spans="1:13" s="7" customFormat="1" ht="17.25">
      <c r="A675" s="26" t="s">
        <v>530</v>
      </c>
      <c r="B675" s="201"/>
      <c r="C675" s="201"/>
      <c r="D675" s="201"/>
      <c r="E675" s="201"/>
      <c r="F675" s="201"/>
      <c r="G675" s="201"/>
      <c r="H675" s="1"/>
      <c r="I675" s="1"/>
      <c r="J675" s="1"/>
      <c r="K675" s="1"/>
      <c r="L675" s="1"/>
    </row>
    <row r="676" spans="1:13" s="7" customFormat="1" ht="17.25">
      <c r="A676" s="27" t="s">
        <v>624</v>
      </c>
      <c r="B676" s="229">
        <v>0</v>
      </c>
      <c r="C676" s="222">
        <v>0</v>
      </c>
      <c r="D676" s="222">
        <v>0</v>
      </c>
      <c r="E676" s="222">
        <v>0</v>
      </c>
      <c r="F676" s="230">
        <v>1</v>
      </c>
      <c r="G676" s="222">
        <v>300000</v>
      </c>
      <c r="H676" s="1"/>
      <c r="I676" s="1"/>
      <c r="J676" s="1"/>
      <c r="K676" s="1"/>
      <c r="L676" s="1"/>
      <c r="M676" s="1"/>
    </row>
    <row r="677" spans="1:13" s="7" customFormat="1" ht="17.25">
      <c r="A677" s="24" t="s">
        <v>625</v>
      </c>
      <c r="B677" s="229"/>
      <c r="C677" s="222"/>
      <c r="D677" s="222"/>
      <c r="E677" s="222"/>
      <c r="F677" s="230"/>
      <c r="G677" s="222"/>
      <c r="H677" s="1"/>
      <c r="I677" s="1"/>
      <c r="J677" s="1"/>
      <c r="K677" s="1"/>
      <c r="L677" s="1"/>
      <c r="M677" s="1"/>
    </row>
    <row r="678" spans="1:13" s="7" customFormat="1" ht="17.25">
      <c r="A678" s="27" t="s">
        <v>626</v>
      </c>
      <c r="B678" s="229">
        <v>0</v>
      </c>
      <c r="C678" s="222">
        <v>0</v>
      </c>
      <c r="D678" s="222">
        <v>0</v>
      </c>
      <c r="E678" s="222">
        <v>0</v>
      </c>
      <c r="F678" s="230">
        <v>1</v>
      </c>
      <c r="G678" s="222">
        <v>300000</v>
      </c>
      <c r="H678" s="1"/>
      <c r="I678" s="1"/>
      <c r="J678" s="1"/>
      <c r="K678" s="1"/>
      <c r="L678" s="1"/>
      <c r="M678" s="1"/>
    </row>
    <row r="679" spans="1:13" s="7" customFormat="1" ht="17.25">
      <c r="A679" s="24" t="s">
        <v>627</v>
      </c>
      <c r="B679" s="229"/>
      <c r="C679" s="222"/>
      <c r="D679" s="222"/>
      <c r="E679" s="222"/>
      <c r="F679" s="230"/>
      <c r="G679" s="222"/>
      <c r="H679" s="1"/>
      <c r="I679" s="1"/>
      <c r="J679" s="1"/>
      <c r="K679" s="1"/>
      <c r="L679" s="1"/>
      <c r="M679" s="1"/>
    </row>
    <row r="680" spans="1:13" s="7" customFormat="1" ht="17.25">
      <c r="A680" s="27" t="s">
        <v>352</v>
      </c>
      <c r="B680" s="77">
        <v>0</v>
      </c>
      <c r="C680" s="185">
        <v>0</v>
      </c>
      <c r="D680" s="185">
        <v>0</v>
      </c>
      <c r="E680" s="185">
        <v>0</v>
      </c>
      <c r="F680" s="59">
        <v>1</v>
      </c>
      <c r="G680" s="185">
        <v>300000</v>
      </c>
      <c r="H680" s="1"/>
      <c r="I680" s="1"/>
      <c r="J680" s="1"/>
      <c r="K680" s="1"/>
      <c r="L680" s="1"/>
      <c r="M680" s="1"/>
    </row>
    <row r="681" spans="1:13" s="7" customFormat="1" ht="17.25">
      <c r="A681" s="27" t="s">
        <v>531</v>
      </c>
      <c r="B681" s="200">
        <v>0</v>
      </c>
      <c r="C681" s="200">
        <v>0</v>
      </c>
      <c r="D681" s="200">
        <v>0</v>
      </c>
      <c r="E681" s="226">
        <v>396710</v>
      </c>
      <c r="F681" s="203">
        <v>-1</v>
      </c>
      <c r="G681" s="200">
        <v>0</v>
      </c>
      <c r="H681" s="1"/>
      <c r="I681" s="1"/>
      <c r="J681" s="1"/>
      <c r="K681" s="1"/>
      <c r="L681" s="1"/>
      <c r="M681" s="1"/>
    </row>
    <row r="682" spans="1:13" s="7" customFormat="1" ht="17.25">
      <c r="A682" s="24" t="s">
        <v>532</v>
      </c>
      <c r="B682" s="202"/>
      <c r="C682" s="202"/>
      <c r="D682" s="202"/>
      <c r="E682" s="228"/>
      <c r="F682" s="202"/>
      <c r="G682" s="202"/>
      <c r="H682" s="1"/>
      <c r="I682" s="1"/>
      <c r="J682" s="1"/>
      <c r="K682" s="1"/>
      <c r="L682" s="1"/>
    </row>
    <row r="683" spans="1:13" s="7" customFormat="1" ht="17.25">
      <c r="A683" s="27" t="s">
        <v>533</v>
      </c>
      <c r="B683" s="200">
        <v>0</v>
      </c>
      <c r="C683" s="200">
        <v>0</v>
      </c>
      <c r="D683" s="200">
        <v>0</v>
      </c>
      <c r="E683" s="226">
        <v>100000</v>
      </c>
      <c r="F683" s="203">
        <v>-1</v>
      </c>
      <c r="G683" s="200">
        <v>0</v>
      </c>
      <c r="H683" s="1"/>
      <c r="I683" s="1"/>
      <c r="J683" s="1"/>
      <c r="K683" s="1"/>
      <c r="L683" s="1"/>
      <c r="M683" s="1"/>
    </row>
    <row r="684" spans="1:13" s="7" customFormat="1" ht="17.25">
      <c r="A684" s="24" t="s">
        <v>534</v>
      </c>
      <c r="B684" s="202"/>
      <c r="C684" s="202"/>
      <c r="D684" s="202"/>
      <c r="E684" s="228"/>
      <c r="F684" s="202"/>
      <c r="G684" s="202"/>
      <c r="H684" s="1"/>
      <c r="I684" s="1"/>
      <c r="J684" s="1"/>
      <c r="K684" s="1"/>
      <c r="L684" s="1"/>
    </row>
    <row r="685" spans="1:13" s="7" customFormat="1" ht="17.25">
      <c r="A685" s="27" t="s">
        <v>660</v>
      </c>
      <c r="B685" s="200">
        <v>0</v>
      </c>
      <c r="C685" s="200">
        <v>0</v>
      </c>
      <c r="D685" s="200">
        <v>0</v>
      </c>
      <c r="E685" s="226">
        <v>500000</v>
      </c>
      <c r="F685" s="203">
        <v>-1</v>
      </c>
      <c r="G685" s="200">
        <v>0</v>
      </c>
      <c r="H685" s="1"/>
      <c r="I685" s="1"/>
      <c r="J685" s="1"/>
      <c r="K685" s="1"/>
      <c r="L685" s="1"/>
      <c r="M685" s="1"/>
    </row>
    <row r="686" spans="1:13" s="7" customFormat="1" ht="17.25">
      <c r="A686" s="24" t="s">
        <v>661</v>
      </c>
      <c r="B686" s="202"/>
      <c r="C686" s="202"/>
      <c r="D686" s="202"/>
      <c r="E686" s="228"/>
      <c r="F686" s="202"/>
      <c r="G686" s="202"/>
      <c r="H686" s="1"/>
      <c r="I686" s="1"/>
      <c r="J686" s="1"/>
      <c r="K686" s="1"/>
      <c r="L686" s="1"/>
    </row>
    <row r="687" spans="1:13" s="7" customFormat="1" ht="17.25">
      <c r="A687" s="27" t="s">
        <v>628</v>
      </c>
      <c r="B687" s="200">
        <v>0</v>
      </c>
      <c r="C687" s="200">
        <v>0</v>
      </c>
      <c r="D687" s="200">
        <v>0</v>
      </c>
      <c r="E687" s="200">
        <v>0</v>
      </c>
      <c r="F687" s="203">
        <v>1</v>
      </c>
      <c r="G687" s="200">
        <v>200000</v>
      </c>
      <c r="H687" s="1"/>
      <c r="I687" s="1"/>
      <c r="J687" s="1"/>
      <c r="K687" s="1"/>
      <c r="L687" s="1"/>
      <c r="M687" s="1"/>
    </row>
    <row r="688" spans="1:13" s="7" customFormat="1" ht="17.25">
      <c r="A688" s="24" t="s">
        <v>524</v>
      </c>
      <c r="B688" s="202"/>
      <c r="C688" s="202"/>
      <c r="D688" s="202"/>
      <c r="E688" s="202"/>
      <c r="F688" s="202"/>
      <c r="G688" s="202"/>
      <c r="H688" s="1"/>
      <c r="I688" s="1"/>
      <c r="J688" s="1"/>
      <c r="K688" s="1"/>
      <c r="L688" s="1"/>
    </row>
    <row r="689" spans="1:13" s="7" customFormat="1" ht="17.25">
      <c r="A689" s="27" t="s">
        <v>629</v>
      </c>
      <c r="B689" s="200">
        <v>0</v>
      </c>
      <c r="C689" s="200">
        <v>0</v>
      </c>
      <c r="D689" s="200">
        <v>0</v>
      </c>
      <c r="E689" s="200">
        <v>0</v>
      </c>
      <c r="F689" s="203">
        <v>1</v>
      </c>
      <c r="G689" s="200">
        <v>200000</v>
      </c>
      <c r="H689" s="1"/>
      <c r="I689" s="1"/>
      <c r="J689" s="1"/>
      <c r="K689" s="1"/>
      <c r="L689" s="1"/>
      <c r="M689" s="1"/>
    </row>
    <row r="690" spans="1:13" s="7" customFormat="1" ht="17.25">
      <c r="A690" s="24" t="s">
        <v>630</v>
      </c>
      <c r="B690" s="202"/>
      <c r="C690" s="202"/>
      <c r="D690" s="202"/>
      <c r="E690" s="202"/>
      <c r="F690" s="202"/>
      <c r="G690" s="202"/>
      <c r="H690" s="1"/>
      <c r="I690" s="1"/>
      <c r="J690" s="1"/>
      <c r="K690" s="1"/>
      <c r="L690" s="1"/>
    </row>
    <row r="691" spans="1:13" s="7" customFormat="1" ht="17.25">
      <c r="A691" s="27" t="s">
        <v>343</v>
      </c>
      <c r="B691" s="200">
        <v>0</v>
      </c>
      <c r="C691" s="200">
        <v>0</v>
      </c>
      <c r="D691" s="200">
        <v>0</v>
      </c>
      <c r="E691" s="200">
        <v>0</v>
      </c>
      <c r="F691" s="203">
        <v>1</v>
      </c>
      <c r="G691" s="200">
        <v>400000</v>
      </c>
      <c r="H691" s="1"/>
      <c r="I691" s="1"/>
      <c r="J691" s="1"/>
      <c r="K691" s="1"/>
      <c r="L691" s="1"/>
      <c r="M691" s="1"/>
    </row>
    <row r="692" spans="1:13" s="7" customFormat="1" ht="17.25">
      <c r="A692" s="24" t="s">
        <v>631</v>
      </c>
      <c r="B692" s="202"/>
      <c r="C692" s="202"/>
      <c r="D692" s="202"/>
      <c r="E692" s="202"/>
      <c r="F692" s="202"/>
      <c r="G692" s="202"/>
      <c r="H692" s="1"/>
      <c r="I692" s="1"/>
      <c r="J692" s="1"/>
      <c r="K692" s="1"/>
      <c r="L692" s="1"/>
    </row>
    <row r="693" spans="1:13" s="7" customFormat="1" ht="17.25">
      <c r="A693" s="27" t="s">
        <v>343</v>
      </c>
      <c r="B693" s="200">
        <v>0</v>
      </c>
      <c r="C693" s="200">
        <v>0</v>
      </c>
      <c r="D693" s="200">
        <v>0</v>
      </c>
      <c r="E693" s="200">
        <v>0</v>
      </c>
      <c r="F693" s="203">
        <v>0</v>
      </c>
      <c r="G693" s="200">
        <v>0</v>
      </c>
      <c r="H693" s="1"/>
      <c r="I693" s="1"/>
      <c r="J693" s="1"/>
      <c r="K693" s="1"/>
      <c r="L693" s="1"/>
      <c r="M693" s="1"/>
    </row>
    <row r="694" spans="1:13" s="7" customFormat="1" ht="17.25">
      <c r="A694" s="26" t="s">
        <v>344</v>
      </c>
      <c r="B694" s="201"/>
      <c r="C694" s="201"/>
      <c r="D694" s="201"/>
      <c r="E694" s="201"/>
      <c r="F694" s="201"/>
      <c r="G694" s="201"/>
      <c r="H694" s="1"/>
      <c r="I694" s="1"/>
      <c r="J694" s="1"/>
      <c r="K694" s="1"/>
      <c r="L694" s="1"/>
    </row>
    <row r="695" spans="1:13" s="7" customFormat="1" ht="17.25">
      <c r="A695" s="26" t="s">
        <v>345</v>
      </c>
      <c r="B695" s="202"/>
      <c r="C695" s="202"/>
      <c r="D695" s="202"/>
      <c r="E695" s="202"/>
      <c r="F695" s="202"/>
      <c r="G695" s="202"/>
      <c r="H695" s="1"/>
      <c r="I695" s="1"/>
      <c r="J695" s="1"/>
      <c r="K695" s="1"/>
      <c r="L695" s="1"/>
    </row>
    <row r="696" spans="1:13" s="7" customFormat="1" ht="17.25">
      <c r="A696" s="27" t="s">
        <v>343</v>
      </c>
      <c r="B696" s="200">
        <v>279000</v>
      </c>
      <c r="C696" s="200">
        <v>0</v>
      </c>
      <c r="D696" s="200">
        <v>350000</v>
      </c>
      <c r="E696" s="200">
        <v>0</v>
      </c>
      <c r="F696" s="203">
        <v>0</v>
      </c>
      <c r="G696" s="200">
        <v>0</v>
      </c>
      <c r="H696" s="1"/>
      <c r="I696" s="1"/>
      <c r="J696" s="1"/>
      <c r="K696" s="1"/>
      <c r="L696" s="1"/>
    </row>
    <row r="697" spans="1:13" s="7" customFormat="1" ht="17.25">
      <c r="A697" s="26" t="s">
        <v>346</v>
      </c>
      <c r="B697" s="201"/>
      <c r="C697" s="201"/>
      <c r="D697" s="201"/>
      <c r="E697" s="201"/>
      <c r="F697" s="201"/>
      <c r="G697" s="201"/>
      <c r="H697" s="1"/>
      <c r="I697" s="1"/>
      <c r="J697" s="1"/>
      <c r="K697" s="1"/>
      <c r="L697" s="1"/>
    </row>
    <row r="698" spans="1:13" s="7" customFormat="1" ht="17.25">
      <c r="A698" s="26" t="s">
        <v>345</v>
      </c>
      <c r="B698" s="202"/>
      <c r="C698" s="202"/>
      <c r="D698" s="202"/>
      <c r="E698" s="202"/>
      <c r="F698" s="202"/>
      <c r="G698" s="202"/>
      <c r="H698" s="1"/>
      <c r="I698" s="1"/>
      <c r="J698" s="1"/>
      <c r="K698" s="1"/>
      <c r="L698" s="1"/>
    </row>
    <row r="699" spans="1:13" s="7" customFormat="1" ht="17.25">
      <c r="A699" s="27" t="s">
        <v>343</v>
      </c>
      <c r="B699" s="200">
        <v>0</v>
      </c>
      <c r="C699" s="200">
        <v>0</v>
      </c>
      <c r="D699" s="200">
        <v>0</v>
      </c>
      <c r="E699" s="200">
        <v>0</v>
      </c>
      <c r="F699" s="203">
        <v>1</v>
      </c>
      <c r="G699" s="200">
        <v>350000</v>
      </c>
      <c r="H699" s="1"/>
      <c r="I699" s="1"/>
      <c r="J699" s="1"/>
      <c r="K699" s="1"/>
      <c r="L699" s="1"/>
      <c r="M699" s="1"/>
    </row>
    <row r="700" spans="1:13" s="7" customFormat="1" ht="17.25">
      <c r="A700" s="24" t="s">
        <v>632</v>
      </c>
      <c r="B700" s="202"/>
      <c r="C700" s="202"/>
      <c r="D700" s="202"/>
      <c r="E700" s="202"/>
      <c r="F700" s="202"/>
      <c r="G700" s="202"/>
      <c r="H700" s="1"/>
      <c r="I700" s="1"/>
      <c r="J700" s="1"/>
      <c r="K700" s="1"/>
      <c r="L700" s="1"/>
    </row>
    <row r="701" spans="1:13" s="7" customFormat="1" ht="17.25">
      <c r="A701" s="22" t="s">
        <v>633</v>
      </c>
      <c r="B701" s="185">
        <v>0</v>
      </c>
      <c r="C701" s="185">
        <v>0</v>
      </c>
      <c r="D701" s="185">
        <v>0</v>
      </c>
      <c r="E701" s="185">
        <v>0</v>
      </c>
      <c r="F701" s="59">
        <v>1</v>
      </c>
      <c r="G701" s="185">
        <v>500000</v>
      </c>
      <c r="H701" s="1"/>
      <c r="I701" s="1"/>
      <c r="J701" s="1"/>
      <c r="K701" s="1"/>
      <c r="L701" s="1"/>
      <c r="M701" s="1"/>
    </row>
    <row r="702" spans="1:13" s="7" customFormat="1" ht="17.25">
      <c r="A702" s="27" t="s">
        <v>634</v>
      </c>
      <c r="B702" s="200">
        <v>0</v>
      </c>
      <c r="C702" s="200">
        <v>0</v>
      </c>
      <c r="D702" s="200">
        <v>0</v>
      </c>
      <c r="E702" s="200">
        <v>0</v>
      </c>
      <c r="F702" s="203">
        <v>1</v>
      </c>
      <c r="G702" s="200">
        <v>110000</v>
      </c>
      <c r="H702" s="1"/>
      <c r="I702" s="1"/>
      <c r="J702" s="1"/>
      <c r="K702" s="1"/>
      <c r="L702" s="1"/>
      <c r="M702" s="1"/>
    </row>
    <row r="703" spans="1:13" s="7" customFormat="1" ht="17.25">
      <c r="A703" s="24" t="s">
        <v>635</v>
      </c>
      <c r="B703" s="202"/>
      <c r="C703" s="202"/>
      <c r="D703" s="202"/>
      <c r="E703" s="202"/>
      <c r="F703" s="202"/>
      <c r="G703" s="202"/>
      <c r="H703" s="1"/>
      <c r="I703" s="1"/>
      <c r="J703" s="1"/>
      <c r="K703" s="1"/>
      <c r="L703" s="1"/>
    </row>
    <row r="704" spans="1:13" s="7" customFormat="1" ht="17.25">
      <c r="A704" s="27" t="s">
        <v>349</v>
      </c>
      <c r="B704" s="200">
        <v>0</v>
      </c>
      <c r="C704" s="200">
        <v>0</v>
      </c>
      <c r="D704" s="200">
        <v>100000</v>
      </c>
      <c r="E704" s="200">
        <v>0</v>
      </c>
      <c r="F704" s="203">
        <v>0</v>
      </c>
      <c r="G704" s="200">
        <v>0</v>
      </c>
      <c r="H704" s="1"/>
      <c r="I704" s="1"/>
      <c r="J704" s="1"/>
      <c r="K704" s="1"/>
      <c r="L704" s="1"/>
    </row>
    <row r="705" spans="1:12" s="7" customFormat="1" ht="17.25">
      <c r="A705" s="26" t="s">
        <v>348</v>
      </c>
      <c r="B705" s="201"/>
      <c r="C705" s="201"/>
      <c r="D705" s="201"/>
      <c r="E705" s="201"/>
      <c r="F705" s="201"/>
      <c r="G705" s="201"/>
      <c r="H705" s="1"/>
      <c r="I705" s="1"/>
      <c r="J705" s="1"/>
      <c r="K705" s="1"/>
      <c r="L705" s="1"/>
    </row>
    <row r="706" spans="1:12" s="7" customFormat="1" ht="17.25">
      <c r="A706" s="24" t="s">
        <v>347</v>
      </c>
      <c r="B706" s="202"/>
      <c r="C706" s="202"/>
      <c r="D706" s="202"/>
      <c r="E706" s="202"/>
      <c r="F706" s="202"/>
      <c r="G706" s="202"/>
      <c r="H706" s="1"/>
      <c r="I706" s="1"/>
      <c r="J706" s="1"/>
      <c r="K706" s="1"/>
      <c r="L706" s="1"/>
    </row>
    <row r="707" spans="1:12" s="7" customFormat="1" ht="17.25">
      <c r="A707" s="15" t="s">
        <v>160</v>
      </c>
      <c r="B707" s="93">
        <v>279000</v>
      </c>
      <c r="C707" s="93">
        <v>0</v>
      </c>
      <c r="D707" s="93">
        <f>SUM(D693:D706)</f>
        <v>450000</v>
      </c>
      <c r="E707" s="93">
        <f>E685+E683+E681+E673+E668+E665+E663+E659+E657+E655+E653+E651+E649</f>
        <v>2468210</v>
      </c>
      <c r="F707" s="73"/>
      <c r="G707" s="93">
        <f>G647+G676+G678+G680+G687+G689+G691+G699+G701+G702</f>
        <v>2680000</v>
      </c>
      <c r="H707" s="1"/>
      <c r="I707" s="1"/>
      <c r="J707" s="1"/>
      <c r="K707" s="1"/>
      <c r="L707" s="1"/>
    </row>
    <row r="708" spans="1:12" s="7" customFormat="1" ht="17.25">
      <c r="A708" s="37" t="s">
        <v>88</v>
      </c>
      <c r="B708" s="93">
        <v>279000</v>
      </c>
      <c r="C708" s="93">
        <v>0</v>
      </c>
      <c r="D708" s="93">
        <f>D707+D644</f>
        <v>460000</v>
      </c>
      <c r="E708" s="93">
        <f>E707+E644</f>
        <v>2543210</v>
      </c>
      <c r="F708" s="73"/>
      <c r="G708" s="93">
        <f>G707+G644</f>
        <v>2735000</v>
      </c>
      <c r="H708" s="1"/>
      <c r="I708" s="1"/>
      <c r="J708" s="1"/>
      <c r="K708" s="1"/>
      <c r="L708" s="1"/>
    </row>
    <row r="709" spans="1:12" ht="17.25">
      <c r="A709" s="16" t="s">
        <v>208</v>
      </c>
      <c r="B709" s="92">
        <f>B640+B708</f>
        <v>286743</v>
      </c>
      <c r="C709" s="92">
        <f>C640+C708</f>
        <v>71931</v>
      </c>
      <c r="D709" s="92">
        <f>D640+D708</f>
        <v>596900</v>
      </c>
      <c r="E709" s="92">
        <f>E640+E708</f>
        <v>2813680</v>
      </c>
      <c r="F709" s="88"/>
      <c r="G709" s="92">
        <f>G640+G708</f>
        <v>2925000</v>
      </c>
      <c r="H709" s="1"/>
      <c r="I709" s="1"/>
      <c r="J709" s="1"/>
      <c r="K709" s="1"/>
      <c r="L709" s="1"/>
    </row>
    <row r="710" spans="1:12" ht="17.25">
      <c r="A710" s="21" t="s">
        <v>209</v>
      </c>
      <c r="B710" s="65"/>
      <c r="C710" s="65"/>
      <c r="D710" s="65"/>
      <c r="E710" s="65"/>
      <c r="F710" s="176"/>
      <c r="G710" s="65"/>
      <c r="H710" s="1"/>
      <c r="I710" s="1"/>
      <c r="J710" s="1"/>
      <c r="K710" s="1"/>
      <c r="L710" s="1"/>
    </row>
    <row r="711" spans="1:12" ht="17.25">
      <c r="A711" s="21" t="s">
        <v>105</v>
      </c>
      <c r="B711" s="66"/>
      <c r="C711" s="66"/>
      <c r="D711" s="66"/>
      <c r="E711" s="66"/>
      <c r="F711" s="166"/>
      <c r="G711" s="66"/>
      <c r="H711" s="1"/>
      <c r="I711" s="1"/>
      <c r="J711" s="1"/>
      <c r="K711" s="1"/>
      <c r="L711" s="1"/>
    </row>
    <row r="712" spans="1:12" ht="17.25">
      <c r="A712" s="21" t="s">
        <v>24</v>
      </c>
      <c r="B712" s="83"/>
      <c r="C712" s="83"/>
      <c r="D712" s="83"/>
      <c r="E712" s="83"/>
      <c r="F712" s="164"/>
      <c r="G712" s="83"/>
      <c r="H712" s="1"/>
      <c r="I712" s="1"/>
      <c r="J712" s="1"/>
      <c r="K712" s="1"/>
      <c r="L712" s="1"/>
    </row>
    <row r="713" spans="1:12" ht="17.25">
      <c r="A713" s="21" t="s">
        <v>210</v>
      </c>
      <c r="B713" s="65">
        <v>153000</v>
      </c>
      <c r="C713" s="65">
        <v>135720</v>
      </c>
      <c r="D713" s="65">
        <f>142560-10000</f>
        <v>132560</v>
      </c>
      <c r="E713" s="65">
        <v>142560</v>
      </c>
      <c r="F713" s="127">
        <v>8.7300000000000003E-2</v>
      </c>
      <c r="G713" s="65">
        <v>155000</v>
      </c>
      <c r="H713" s="1"/>
      <c r="I713" s="1"/>
      <c r="J713" s="1"/>
      <c r="K713" s="1"/>
      <c r="L713" s="1"/>
    </row>
    <row r="714" spans="1:12" ht="17.25">
      <c r="A714" s="22" t="s">
        <v>211</v>
      </c>
      <c r="B714" s="66">
        <v>0</v>
      </c>
      <c r="C714" s="66">
        <v>23700</v>
      </c>
      <c r="D714" s="66">
        <f>24000-3000</f>
        <v>21000</v>
      </c>
      <c r="E714" s="66">
        <v>16860</v>
      </c>
      <c r="F714" s="197">
        <v>-5.0999999999999997E-2</v>
      </c>
      <c r="G714" s="66">
        <v>16000</v>
      </c>
      <c r="H714" s="1"/>
      <c r="I714" s="1"/>
      <c r="J714" s="1"/>
      <c r="K714" s="1"/>
      <c r="L714" s="1"/>
    </row>
    <row r="715" spans="1:12" ht="17.25">
      <c r="A715" s="16" t="s">
        <v>107</v>
      </c>
      <c r="B715" s="97">
        <v>153000</v>
      </c>
      <c r="C715" s="97">
        <f>C713+C714</f>
        <v>159420</v>
      </c>
      <c r="D715" s="97">
        <v>166560</v>
      </c>
      <c r="E715" s="97">
        <f>E713+E714</f>
        <v>159420</v>
      </c>
      <c r="F715" s="98"/>
      <c r="G715" s="97">
        <f>G713+G714</f>
        <v>171000</v>
      </c>
    </row>
    <row r="716" spans="1:12" ht="17.25">
      <c r="A716" s="37" t="s">
        <v>108</v>
      </c>
      <c r="B716" s="93">
        <v>153000</v>
      </c>
      <c r="C716" s="93">
        <f>C715</f>
        <v>159420</v>
      </c>
      <c r="D716" s="93">
        <v>166560</v>
      </c>
      <c r="E716" s="93">
        <f>E715</f>
        <v>159420</v>
      </c>
      <c r="F716" s="73"/>
      <c r="G716" s="93">
        <f>G715</f>
        <v>171000</v>
      </c>
    </row>
    <row r="717" spans="1:12" ht="17.25">
      <c r="A717" s="21" t="s">
        <v>33</v>
      </c>
      <c r="B717" s="18"/>
      <c r="C717" s="18"/>
      <c r="D717" s="18"/>
      <c r="E717" s="18"/>
      <c r="F717" s="18"/>
      <c r="G717" s="18"/>
    </row>
    <row r="718" spans="1:12" ht="17.25">
      <c r="A718" s="30" t="s">
        <v>34</v>
      </c>
      <c r="B718" s="18"/>
      <c r="C718" s="18"/>
      <c r="D718" s="18"/>
      <c r="E718" s="18"/>
      <c r="F718" s="18"/>
      <c r="G718" s="18"/>
    </row>
    <row r="719" spans="1:12" ht="17.25">
      <c r="A719" s="27" t="s">
        <v>301</v>
      </c>
      <c r="B719" s="200">
        <v>0</v>
      </c>
      <c r="C719" s="200">
        <v>0</v>
      </c>
      <c r="D719" s="200">
        <v>0</v>
      </c>
      <c r="E719" s="200">
        <v>5940</v>
      </c>
      <c r="F719" s="231">
        <v>0.3468</v>
      </c>
      <c r="G719" s="200">
        <v>8000</v>
      </c>
    </row>
    <row r="720" spans="1:12" ht="17.25">
      <c r="A720" s="24" t="s">
        <v>302</v>
      </c>
      <c r="B720" s="202"/>
      <c r="C720" s="202"/>
      <c r="D720" s="202"/>
      <c r="E720" s="202"/>
      <c r="F720" s="232"/>
      <c r="G720" s="202"/>
    </row>
    <row r="721" spans="1:13" ht="17.25">
      <c r="A721" s="32" t="s">
        <v>40</v>
      </c>
      <c r="B721" s="92">
        <v>0</v>
      </c>
      <c r="C721" s="92">
        <v>0</v>
      </c>
      <c r="D721" s="92">
        <v>0</v>
      </c>
      <c r="E721" s="92">
        <v>5940</v>
      </c>
      <c r="F721" s="35"/>
      <c r="G721" s="92">
        <f>8000</f>
        <v>8000</v>
      </c>
    </row>
    <row r="722" spans="1:13" ht="17.25">
      <c r="A722" s="21" t="s">
        <v>41</v>
      </c>
      <c r="B722" s="19"/>
      <c r="C722" s="19"/>
      <c r="D722" s="19"/>
      <c r="E722" s="19"/>
      <c r="F722" s="19"/>
      <c r="G722" s="19"/>
    </row>
    <row r="723" spans="1:13" ht="17.25">
      <c r="A723" s="22" t="s">
        <v>42</v>
      </c>
      <c r="B723" s="66">
        <v>652500</v>
      </c>
      <c r="C723" s="66">
        <v>610725.81000000006</v>
      </c>
      <c r="D723" s="66">
        <f>580000-121145.52</f>
        <v>458854.48</v>
      </c>
      <c r="E723" s="66">
        <v>381000</v>
      </c>
      <c r="F723" s="105">
        <v>1</v>
      </c>
      <c r="G723" s="66">
        <v>500000</v>
      </c>
    </row>
    <row r="724" spans="1:13" s="7" customFormat="1" ht="17.25">
      <c r="A724" s="27" t="s">
        <v>44</v>
      </c>
      <c r="B724" s="200"/>
      <c r="C724" s="200"/>
      <c r="D724" s="200"/>
      <c r="E724" s="200"/>
      <c r="F724" s="200"/>
      <c r="G724" s="200"/>
      <c r="H724" s="1"/>
      <c r="I724" s="1"/>
      <c r="J724" s="1"/>
      <c r="K724" s="1"/>
      <c r="L724" s="1"/>
      <c r="M724" s="1"/>
    </row>
    <row r="725" spans="1:13" s="7" customFormat="1" ht="17.25">
      <c r="A725" s="24" t="s">
        <v>308</v>
      </c>
      <c r="B725" s="202"/>
      <c r="C725" s="202"/>
      <c r="D725" s="202"/>
      <c r="E725" s="202"/>
      <c r="F725" s="202"/>
      <c r="G725" s="202"/>
      <c r="H725" s="1"/>
      <c r="I725" s="1"/>
      <c r="J725" s="1"/>
      <c r="K725" s="1"/>
      <c r="L725" s="1"/>
      <c r="M725" s="1"/>
    </row>
    <row r="726" spans="1:13" s="7" customFormat="1" ht="17.25">
      <c r="A726" s="27" t="s">
        <v>536</v>
      </c>
      <c r="B726" s="200">
        <v>0</v>
      </c>
      <c r="C726" s="200">
        <v>0</v>
      </c>
      <c r="D726" s="200">
        <v>0</v>
      </c>
      <c r="E726" s="200">
        <v>18000</v>
      </c>
      <c r="F726" s="211">
        <v>-1</v>
      </c>
      <c r="G726" s="200">
        <v>0</v>
      </c>
      <c r="H726" s="1"/>
      <c r="I726" s="1"/>
      <c r="J726" s="1"/>
      <c r="K726" s="1"/>
      <c r="L726" s="1"/>
      <c r="M726" s="1"/>
    </row>
    <row r="727" spans="1:13" s="7" customFormat="1" ht="17.25">
      <c r="A727" s="104" t="s">
        <v>537</v>
      </c>
      <c r="B727" s="201"/>
      <c r="C727" s="201"/>
      <c r="D727" s="201"/>
      <c r="E727" s="201"/>
      <c r="F727" s="225"/>
      <c r="G727" s="201"/>
      <c r="H727" s="1"/>
      <c r="I727" s="1"/>
      <c r="J727" s="1"/>
      <c r="K727" s="1"/>
      <c r="L727" s="1"/>
      <c r="M727" s="1"/>
    </row>
    <row r="728" spans="1:13" s="7" customFormat="1" ht="17.25">
      <c r="A728" s="104" t="s">
        <v>538</v>
      </c>
      <c r="B728" s="202"/>
      <c r="C728" s="202"/>
      <c r="D728" s="202"/>
      <c r="E728" s="202"/>
      <c r="F728" s="202"/>
      <c r="G728" s="202"/>
      <c r="H728" s="1"/>
      <c r="I728" s="1"/>
      <c r="J728" s="1"/>
      <c r="K728" s="1"/>
      <c r="L728" s="1"/>
      <c r="M728" s="1"/>
    </row>
    <row r="729" spans="1:13" s="7" customFormat="1" ht="17.25">
      <c r="A729" s="27" t="s">
        <v>540</v>
      </c>
      <c r="B729" s="176">
        <v>0</v>
      </c>
      <c r="C729" s="176">
        <v>0</v>
      </c>
      <c r="D729" s="176">
        <v>0</v>
      </c>
      <c r="E729" s="176">
        <v>15000</v>
      </c>
      <c r="F729" s="119">
        <v>-1</v>
      </c>
      <c r="G729" s="176">
        <v>0</v>
      </c>
      <c r="H729" s="1"/>
      <c r="I729" s="1"/>
      <c r="J729" s="1"/>
      <c r="K729" s="1"/>
      <c r="L729" s="1"/>
      <c r="M729" s="1"/>
    </row>
    <row r="730" spans="1:13" s="7" customFormat="1" ht="17.25">
      <c r="A730" s="27" t="s">
        <v>541</v>
      </c>
      <c r="B730" s="200">
        <v>0</v>
      </c>
      <c r="C730" s="200">
        <v>0</v>
      </c>
      <c r="D730" s="200">
        <v>0</v>
      </c>
      <c r="E730" s="200">
        <v>15000</v>
      </c>
      <c r="F730" s="211">
        <v>-1</v>
      </c>
      <c r="G730" s="200">
        <v>0</v>
      </c>
      <c r="H730" s="1"/>
      <c r="I730" s="1"/>
      <c r="J730" s="1"/>
      <c r="K730" s="1"/>
      <c r="L730" s="1"/>
      <c r="M730" s="1"/>
    </row>
    <row r="731" spans="1:13" s="7" customFormat="1" ht="17.25">
      <c r="A731" s="104" t="s">
        <v>542</v>
      </c>
      <c r="B731" s="201"/>
      <c r="C731" s="201"/>
      <c r="D731" s="201"/>
      <c r="E731" s="201"/>
      <c r="F731" s="225"/>
      <c r="G731" s="201"/>
      <c r="H731" s="1"/>
      <c r="I731" s="1"/>
      <c r="J731" s="1"/>
      <c r="K731" s="1"/>
      <c r="L731" s="1"/>
      <c r="M731" s="1"/>
    </row>
    <row r="732" spans="1:13" s="7" customFormat="1" ht="17.25">
      <c r="A732" s="22" t="s">
        <v>636</v>
      </c>
      <c r="B732" s="185">
        <v>0</v>
      </c>
      <c r="C732" s="185">
        <v>0</v>
      </c>
      <c r="D732" s="185">
        <v>0</v>
      </c>
      <c r="E732" s="185">
        <v>0</v>
      </c>
      <c r="F732" s="75" t="s">
        <v>320</v>
      </c>
      <c r="G732" s="185">
        <v>25000</v>
      </c>
      <c r="H732" s="1"/>
      <c r="I732" s="1"/>
      <c r="J732" s="1"/>
      <c r="K732" s="1"/>
      <c r="L732" s="1"/>
      <c r="M732" s="1"/>
    </row>
    <row r="733" spans="1:13" s="7" customFormat="1" ht="17.25">
      <c r="A733" s="22" t="s">
        <v>637</v>
      </c>
      <c r="B733" s="185">
        <v>0</v>
      </c>
      <c r="C733" s="185">
        <v>0</v>
      </c>
      <c r="D733" s="185">
        <v>0</v>
      </c>
      <c r="E733" s="185">
        <v>0</v>
      </c>
      <c r="F733" s="75" t="s">
        <v>320</v>
      </c>
      <c r="G733" s="185">
        <v>10000</v>
      </c>
      <c r="H733" s="1"/>
      <c r="I733" s="1"/>
      <c r="J733" s="1"/>
      <c r="K733" s="1"/>
      <c r="L733" s="1"/>
      <c r="M733" s="1"/>
    </row>
    <row r="734" spans="1:13" s="7" customFormat="1" ht="17.25">
      <c r="A734" s="22" t="s">
        <v>638</v>
      </c>
      <c r="B734" s="185">
        <v>0</v>
      </c>
      <c r="C734" s="185">
        <v>0</v>
      </c>
      <c r="D734" s="185">
        <v>0</v>
      </c>
      <c r="E734" s="185">
        <v>0</v>
      </c>
      <c r="F734" s="75" t="s">
        <v>320</v>
      </c>
      <c r="G734" s="185">
        <v>20000</v>
      </c>
      <c r="H734" s="1"/>
      <c r="I734" s="1"/>
      <c r="J734" s="1"/>
      <c r="K734" s="1"/>
      <c r="L734" s="1"/>
      <c r="M734" s="1"/>
    </row>
    <row r="735" spans="1:13" s="7" customFormat="1" ht="17.25">
      <c r="A735" s="16" t="s">
        <v>50</v>
      </c>
      <c r="B735" s="93">
        <v>652500</v>
      </c>
      <c r="C735" s="93">
        <f>C723</f>
        <v>610725.81000000006</v>
      </c>
      <c r="D735" s="93">
        <f>D723</f>
        <v>458854.48</v>
      </c>
      <c r="E735" s="93">
        <f>E723+E726+E727+E728+E729+E730+E731</f>
        <v>429000</v>
      </c>
      <c r="F735" s="73"/>
      <c r="G735" s="93">
        <f>G723+G726+G727+G728+G729+G730+G731+G732+G733+G734</f>
        <v>555000</v>
      </c>
      <c r="H735" s="1"/>
      <c r="I735" s="1"/>
      <c r="J735" s="1"/>
      <c r="K735" s="1"/>
      <c r="L735" s="1"/>
      <c r="M735" s="1"/>
    </row>
    <row r="736" spans="1:13" s="7" customFormat="1" ht="17.25">
      <c r="A736" s="21" t="s">
        <v>51</v>
      </c>
      <c r="B736" s="65"/>
      <c r="C736" s="65"/>
      <c r="D736" s="65"/>
      <c r="E736" s="65"/>
      <c r="F736" s="176"/>
      <c r="G736" s="65"/>
      <c r="H736" s="1"/>
      <c r="I736" s="1"/>
      <c r="J736" s="1"/>
      <c r="K736" s="1"/>
      <c r="L736" s="1"/>
      <c r="M736" s="1"/>
    </row>
    <row r="737" spans="1:13" s="7" customFormat="1" ht="17.25">
      <c r="A737" s="24" t="s">
        <v>57</v>
      </c>
      <c r="B737" s="65">
        <v>35000</v>
      </c>
      <c r="C737" s="65">
        <v>143530</v>
      </c>
      <c r="D737" s="65">
        <f>130000-20000</f>
        <v>110000</v>
      </c>
      <c r="E737" s="65">
        <v>110000</v>
      </c>
      <c r="F737" s="127">
        <v>0.30909999999999999</v>
      </c>
      <c r="G737" s="65">
        <v>144000</v>
      </c>
      <c r="H737" s="1"/>
      <c r="I737" s="1"/>
      <c r="J737" s="1"/>
      <c r="K737" s="1"/>
      <c r="L737" s="1"/>
      <c r="M737" s="1"/>
    </row>
    <row r="738" spans="1:13" s="7" customFormat="1" ht="17.25">
      <c r="A738" s="24" t="s">
        <v>490</v>
      </c>
      <c r="B738" s="66">
        <v>0</v>
      </c>
      <c r="C738" s="66">
        <v>0</v>
      </c>
      <c r="D738" s="66">
        <v>0</v>
      </c>
      <c r="E738" s="66">
        <v>0</v>
      </c>
      <c r="F738" s="140">
        <v>1</v>
      </c>
      <c r="G738" s="66">
        <v>0</v>
      </c>
      <c r="H738" s="1"/>
      <c r="I738" s="1"/>
      <c r="J738" s="1"/>
      <c r="K738" s="1"/>
      <c r="L738" s="1"/>
      <c r="M738" s="1"/>
    </row>
    <row r="739" spans="1:13" s="7" customFormat="1" ht="17.25">
      <c r="A739" s="27" t="s">
        <v>59</v>
      </c>
      <c r="B739" s="66">
        <v>0</v>
      </c>
      <c r="C739" s="66">
        <v>0</v>
      </c>
      <c r="D739" s="66">
        <f>70000-20000</f>
        <v>50000</v>
      </c>
      <c r="E739" s="66">
        <v>56000</v>
      </c>
      <c r="F739" s="140">
        <v>-0.125</v>
      </c>
      <c r="G739" s="66">
        <v>49000</v>
      </c>
      <c r="H739" s="1"/>
      <c r="I739" s="1"/>
      <c r="J739" s="1"/>
      <c r="K739" s="1"/>
      <c r="L739" s="1"/>
      <c r="M739" s="1"/>
    </row>
    <row r="740" spans="1:13" s="7" customFormat="1" ht="17.25">
      <c r="A740" s="16" t="s">
        <v>60</v>
      </c>
      <c r="B740" s="92">
        <f>SUM(B737:B739)</f>
        <v>35000</v>
      </c>
      <c r="C740" s="92">
        <f>SUM(C737:C739)</f>
        <v>143530</v>
      </c>
      <c r="D740" s="92">
        <f>SUM(D737:D739)</f>
        <v>160000</v>
      </c>
      <c r="E740" s="92">
        <f>SUM(E737:E739)</f>
        <v>166000</v>
      </c>
      <c r="F740" s="88"/>
      <c r="G740" s="92">
        <f>SUM(G737:G739)</f>
        <v>193000</v>
      </c>
      <c r="H740" s="1"/>
      <c r="I740" s="1"/>
      <c r="J740" s="1"/>
      <c r="K740" s="1"/>
      <c r="L740" s="1"/>
      <c r="M740" s="1"/>
    </row>
    <row r="741" spans="1:13" s="7" customFormat="1" ht="17.25">
      <c r="A741" s="15" t="s">
        <v>68</v>
      </c>
      <c r="B741" s="93">
        <f>B735+B740</f>
        <v>687500</v>
      </c>
      <c r="C741" s="93">
        <f>C721+C735+C740</f>
        <v>754255.81</v>
      </c>
      <c r="D741" s="93">
        <f>D735+D740</f>
        <v>618854.48</v>
      </c>
      <c r="E741" s="93">
        <f>E721+E735+E740</f>
        <v>600940</v>
      </c>
      <c r="F741" s="73"/>
      <c r="G741" s="93">
        <f>G721+G735+G740</f>
        <v>756000</v>
      </c>
      <c r="H741" s="1"/>
      <c r="I741" s="1"/>
      <c r="J741" s="1"/>
      <c r="K741" s="1"/>
      <c r="L741" s="1"/>
      <c r="M741" s="1"/>
    </row>
    <row r="742" spans="1:13" s="7" customFormat="1" ht="17.25">
      <c r="A742" s="38" t="s">
        <v>69</v>
      </c>
      <c r="B742" s="66"/>
      <c r="C742" s="66"/>
      <c r="D742" s="66"/>
      <c r="E742" s="66"/>
      <c r="F742" s="166"/>
      <c r="G742" s="66"/>
      <c r="H742" s="1"/>
      <c r="I742" s="1"/>
      <c r="J742" s="1"/>
      <c r="K742" s="1"/>
      <c r="L742" s="1"/>
      <c r="M742" s="1"/>
    </row>
    <row r="743" spans="1:13" s="7" customFormat="1" ht="17.25">
      <c r="A743" s="21" t="s">
        <v>70</v>
      </c>
      <c r="B743" s="65"/>
      <c r="C743" s="65"/>
      <c r="D743" s="65"/>
      <c r="E743" s="65"/>
      <c r="F743" s="176"/>
      <c r="G743" s="65"/>
      <c r="H743" s="1"/>
      <c r="I743" s="1"/>
      <c r="J743" s="1"/>
      <c r="K743" s="1"/>
      <c r="L743" s="1"/>
      <c r="M743" s="1"/>
    </row>
    <row r="744" spans="1:13" s="7" customFormat="1" ht="17.25">
      <c r="A744" s="22" t="s">
        <v>127</v>
      </c>
      <c r="B744" s="66">
        <v>0</v>
      </c>
      <c r="C744" s="66">
        <v>0</v>
      </c>
      <c r="D744" s="66">
        <v>10000</v>
      </c>
      <c r="E744" s="66">
        <v>90000</v>
      </c>
      <c r="F744" s="172">
        <v>1</v>
      </c>
      <c r="G744" s="66">
        <v>50000</v>
      </c>
      <c r="H744" s="1"/>
      <c r="I744" s="1"/>
      <c r="J744" s="1"/>
      <c r="K744" s="1"/>
      <c r="L744" s="1"/>
      <c r="M744" s="1"/>
    </row>
    <row r="745" spans="1:13" s="7" customFormat="1" ht="17.25">
      <c r="A745" s="16" t="s">
        <v>82</v>
      </c>
      <c r="B745" s="97">
        <v>0</v>
      </c>
      <c r="C745" s="97">
        <v>0</v>
      </c>
      <c r="D745" s="97">
        <f>D744</f>
        <v>10000</v>
      </c>
      <c r="E745" s="97">
        <v>90000</v>
      </c>
      <c r="F745" s="98"/>
      <c r="G745" s="97">
        <f>G744</f>
        <v>50000</v>
      </c>
      <c r="H745" s="1"/>
      <c r="I745" s="1"/>
      <c r="J745" s="1"/>
      <c r="K745" s="1"/>
      <c r="L745" s="1"/>
      <c r="M745" s="1"/>
    </row>
    <row r="746" spans="1:13" s="7" customFormat="1" ht="17.25">
      <c r="A746" s="15" t="s">
        <v>88</v>
      </c>
      <c r="B746" s="93">
        <v>0</v>
      </c>
      <c r="C746" s="93">
        <v>0</v>
      </c>
      <c r="D746" s="93">
        <f>D745</f>
        <v>10000</v>
      </c>
      <c r="E746" s="93">
        <v>90000</v>
      </c>
      <c r="F746" s="73"/>
      <c r="G746" s="93">
        <f>G744</f>
        <v>50000</v>
      </c>
      <c r="H746" s="1"/>
      <c r="I746" s="1"/>
      <c r="J746" s="1"/>
      <c r="K746" s="1"/>
      <c r="L746" s="1"/>
      <c r="M746" s="1"/>
    </row>
    <row r="747" spans="1:13" s="7" customFormat="1" ht="17.25">
      <c r="A747" s="16" t="s">
        <v>212</v>
      </c>
      <c r="B747" s="92">
        <f>B716+B741</f>
        <v>840500</v>
      </c>
      <c r="C747" s="92">
        <f>C716+C741</f>
        <v>913675.81</v>
      </c>
      <c r="D747" s="92">
        <f>D716+D741+D745</f>
        <v>795414.48</v>
      </c>
      <c r="E747" s="92">
        <f>E716+E741+E745</f>
        <v>850360</v>
      </c>
      <c r="F747" s="88"/>
      <c r="G747" s="92">
        <f>G716+G741+G745</f>
        <v>977000</v>
      </c>
      <c r="H747" s="1"/>
      <c r="I747" s="1"/>
      <c r="J747" s="1"/>
      <c r="K747" s="1"/>
      <c r="L747" s="1"/>
      <c r="M747" s="1"/>
    </row>
    <row r="748" spans="1:13" s="7" customFormat="1" ht="17.25">
      <c r="A748" s="23" t="s">
        <v>213</v>
      </c>
      <c r="B748" s="66"/>
      <c r="C748" s="66"/>
      <c r="D748" s="66"/>
      <c r="E748" s="66"/>
      <c r="F748" s="166"/>
      <c r="G748" s="66"/>
      <c r="H748" s="1"/>
      <c r="I748" s="1"/>
      <c r="J748" s="1"/>
      <c r="K748" s="1"/>
      <c r="L748" s="1"/>
    </row>
    <row r="749" spans="1:13" s="7" customFormat="1" ht="17.25">
      <c r="A749" s="21" t="s">
        <v>69</v>
      </c>
      <c r="B749" s="56"/>
      <c r="C749" s="56"/>
      <c r="D749" s="56"/>
      <c r="E749" s="56"/>
      <c r="F749" s="176"/>
      <c r="G749" s="56"/>
      <c r="H749" s="1"/>
      <c r="I749" s="1"/>
      <c r="J749" s="1"/>
      <c r="K749" s="1"/>
      <c r="L749" s="1"/>
    </row>
    <row r="750" spans="1:13" s="7" customFormat="1" ht="17.25">
      <c r="A750" s="22" t="s">
        <v>214</v>
      </c>
      <c r="B750" s="57"/>
      <c r="C750" s="57"/>
      <c r="D750" s="57"/>
      <c r="E750" s="57"/>
      <c r="F750" s="165"/>
      <c r="G750" s="57"/>
      <c r="H750" s="1"/>
      <c r="I750" s="1"/>
      <c r="J750" s="1"/>
      <c r="K750" s="1"/>
      <c r="L750" s="1"/>
    </row>
    <row r="751" spans="1:13" s="7" customFormat="1" ht="17.25">
      <c r="A751" s="27" t="s">
        <v>156</v>
      </c>
      <c r="B751" s="65"/>
      <c r="C751" s="65"/>
      <c r="D751" s="65"/>
      <c r="E751" s="65"/>
      <c r="F751" s="176"/>
      <c r="G751" s="65"/>
      <c r="H751" s="1"/>
      <c r="I751" s="1"/>
      <c r="J751" s="1"/>
      <c r="K751" s="1"/>
      <c r="L751" s="1"/>
    </row>
    <row r="752" spans="1:13" s="7" customFormat="1" ht="17.25">
      <c r="A752" s="27" t="s">
        <v>351</v>
      </c>
      <c r="B752" s="200">
        <v>0</v>
      </c>
      <c r="C752" s="200">
        <v>58000</v>
      </c>
      <c r="D752" s="200">
        <v>0</v>
      </c>
      <c r="E752" s="200">
        <v>0</v>
      </c>
      <c r="F752" s="207"/>
      <c r="G752" s="200">
        <v>0</v>
      </c>
      <c r="H752" s="1"/>
      <c r="I752" s="1"/>
      <c r="J752" s="1"/>
      <c r="K752" s="1"/>
      <c r="L752" s="1"/>
    </row>
    <row r="753" spans="1:13" s="7" customFormat="1" ht="17.25">
      <c r="A753" s="24" t="s">
        <v>350</v>
      </c>
      <c r="B753" s="202"/>
      <c r="C753" s="202"/>
      <c r="D753" s="202"/>
      <c r="E753" s="202"/>
      <c r="F753" s="202"/>
      <c r="G753" s="202"/>
      <c r="H753" s="1"/>
      <c r="I753" s="1"/>
      <c r="J753" s="1"/>
      <c r="K753" s="1"/>
      <c r="L753" s="1"/>
    </row>
    <row r="754" spans="1:13" s="7" customFormat="1" ht="17.25">
      <c r="A754" s="27" t="s">
        <v>352</v>
      </c>
      <c r="B754" s="200">
        <v>0</v>
      </c>
      <c r="C754" s="200">
        <v>0</v>
      </c>
      <c r="D754" s="200">
        <v>0</v>
      </c>
      <c r="E754" s="200">
        <v>0</v>
      </c>
      <c r="F754" s="203">
        <v>0</v>
      </c>
      <c r="G754" s="200">
        <v>0</v>
      </c>
      <c r="H754" s="1"/>
      <c r="I754" s="1"/>
      <c r="J754" s="1"/>
      <c r="K754" s="1"/>
      <c r="L754" s="1"/>
    </row>
    <row r="755" spans="1:13" s="7" customFormat="1" ht="17.25">
      <c r="A755" s="26" t="s">
        <v>353</v>
      </c>
      <c r="B755" s="202"/>
      <c r="C755" s="202"/>
      <c r="D755" s="202"/>
      <c r="E755" s="202"/>
      <c r="F755" s="202"/>
      <c r="G755" s="202"/>
      <c r="H755" s="1"/>
      <c r="I755" s="1"/>
      <c r="J755" s="1"/>
      <c r="K755" s="1"/>
      <c r="L755" s="1"/>
    </row>
    <row r="756" spans="1:13" s="7" customFormat="1" ht="17.25">
      <c r="A756" s="27" t="s">
        <v>354</v>
      </c>
      <c r="B756" s="200">
        <v>0</v>
      </c>
      <c r="C756" s="200">
        <v>0</v>
      </c>
      <c r="D756" s="200">
        <v>119000</v>
      </c>
      <c r="E756" s="200">
        <v>0</v>
      </c>
      <c r="F756" s="203">
        <v>0</v>
      </c>
      <c r="G756" s="200">
        <v>0</v>
      </c>
      <c r="H756" s="1"/>
      <c r="I756" s="1"/>
      <c r="J756" s="1"/>
      <c r="K756" s="1"/>
      <c r="L756" s="1"/>
    </row>
    <row r="757" spans="1:13" s="7" customFormat="1" ht="17.25">
      <c r="A757" s="24" t="s">
        <v>355</v>
      </c>
      <c r="B757" s="202"/>
      <c r="C757" s="202"/>
      <c r="D757" s="202"/>
      <c r="E757" s="202"/>
      <c r="F757" s="202"/>
      <c r="G757" s="202"/>
      <c r="H757" s="1"/>
      <c r="I757" s="1"/>
      <c r="J757" s="1"/>
      <c r="K757" s="1"/>
      <c r="L757" s="1"/>
    </row>
    <row r="758" spans="1:13" ht="17.25">
      <c r="A758" s="37" t="s">
        <v>160</v>
      </c>
      <c r="B758" s="92">
        <f>SUM(B754:B757)</f>
        <v>0</v>
      </c>
      <c r="C758" s="92">
        <v>58000</v>
      </c>
      <c r="D758" s="92">
        <f>D752+D754+D756</f>
        <v>119000</v>
      </c>
      <c r="E758" s="92">
        <v>0</v>
      </c>
      <c r="F758" s="88"/>
      <c r="G758" s="92">
        <v>0</v>
      </c>
      <c r="H758" s="1"/>
      <c r="I758" s="1"/>
      <c r="J758" s="1"/>
      <c r="K758" s="1"/>
      <c r="L758" s="1"/>
    </row>
    <row r="759" spans="1:13" ht="17.25">
      <c r="A759" s="16" t="s">
        <v>88</v>
      </c>
      <c r="B759" s="93">
        <v>0</v>
      </c>
      <c r="C759" s="93">
        <f>C758</f>
        <v>58000</v>
      </c>
      <c r="D759" s="93">
        <f>D758</f>
        <v>119000</v>
      </c>
      <c r="E759" s="93">
        <v>0</v>
      </c>
      <c r="F759" s="73"/>
      <c r="G759" s="93">
        <v>0</v>
      </c>
      <c r="H759" s="1"/>
      <c r="I759" s="1"/>
      <c r="J759" s="1"/>
      <c r="K759" s="1"/>
      <c r="L759" s="1"/>
    </row>
    <row r="760" spans="1:13" ht="17.25">
      <c r="A760" s="16" t="s">
        <v>215</v>
      </c>
      <c r="B760" s="92">
        <v>0</v>
      </c>
      <c r="C760" s="92">
        <f>C758</f>
        <v>58000</v>
      </c>
      <c r="D760" s="92">
        <f>D759</f>
        <v>119000</v>
      </c>
      <c r="E760" s="92">
        <v>0</v>
      </c>
      <c r="F760" s="88"/>
      <c r="G760" s="92">
        <v>0</v>
      </c>
      <c r="H760" s="1"/>
      <c r="I760" s="1"/>
      <c r="J760" s="1"/>
      <c r="K760" s="1"/>
      <c r="L760" s="1"/>
    </row>
    <row r="761" spans="1:13" ht="17.25">
      <c r="A761" s="16" t="s">
        <v>216</v>
      </c>
      <c r="B761" s="97">
        <f>B760+B627+B709+B747</f>
        <v>3112232.58</v>
      </c>
      <c r="C761" s="97">
        <f>C760+C627+C709+C747</f>
        <v>3314115.87</v>
      </c>
      <c r="D761" s="97">
        <f>D760+D627+D709+D747</f>
        <v>3670679.33</v>
      </c>
      <c r="E761" s="97">
        <f>E760+E627+E709+E747</f>
        <v>5858280</v>
      </c>
      <c r="F761" s="98"/>
      <c r="G761" s="97">
        <f>G760+G627+G709+G747</f>
        <v>6445000</v>
      </c>
      <c r="H761" s="1"/>
      <c r="I761" s="1"/>
      <c r="J761" s="1"/>
      <c r="K761" s="1"/>
      <c r="L761" s="1"/>
    </row>
    <row r="762" spans="1:13" ht="17.25">
      <c r="A762" s="21" t="s">
        <v>217</v>
      </c>
      <c r="B762" s="65"/>
      <c r="C762" s="65"/>
      <c r="D762" s="65"/>
      <c r="E762" s="65"/>
      <c r="F762" s="176"/>
      <c r="G762" s="65"/>
      <c r="H762" s="1"/>
      <c r="I762" s="1"/>
      <c r="J762" s="1"/>
      <c r="K762" s="1"/>
      <c r="L762" s="1"/>
    </row>
    <row r="763" spans="1:13" ht="17.25">
      <c r="A763" s="21" t="s">
        <v>218</v>
      </c>
      <c r="B763" s="66"/>
      <c r="C763" s="66"/>
      <c r="D763" s="66"/>
      <c r="E763" s="66"/>
      <c r="F763" s="166"/>
      <c r="G763" s="66"/>
      <c r="H763" s="1"/>
      <c r="I763" s="1"/>
      <c r="J763" s="1"/>
      <c r="K763" s="1"/>
      <c r="L763" s="1"/>
    </row>
    <row r="764" spans="1:13" ht="17.25">
      <c r="A764" s="21" t="s">
        <v>33</v>
      </c>
      <c r="B764" s="83"/>
      <c r="C764" s="83"/>
      <c r="D764" s="83"/>
      <c r="E764" s="83"/>
      <c r="F764" s="164"/>
      <c r="G764" s="83"/>
    </row>
    <row r="765" spans="1:13" ht="17.25">
      <c r="A765" s="29" t="s">
        <v>41</v>
      </c>
      <c r="B765" s="65"/>
      <c r="C765" s="65"/>
      <c r="D765" s="65"/>
      <c r="E765" s="65"/>
      <c r="F765" s="176"/>
      <c r="G765" s="65"/>
    </row>
    <row r="766" spans="1:13" ht="17.25">
      <c r="A766" s="27" t="s">
        <v>44</v>
      </c>
      <c r="B766" s="200"/>
      <c r="C766" s="200"/>
      <c r="D766" s="200"/>
      <c r="E766" s="200"/>
      <c r="F766" s="200"/>
      <c r="G766" s="200"/>
    </row>
    <row r="767" spans="1:13" ht="17.25">
      <c r="A767" s="24" t="s">
        <v>308</v>
      </c>
      <c r="B767" s="202"/>
      <c r="C767" s="202"/>
      <c r="D767" s="202"/>
      <c r="E767" s="202"/>
      <c r="F767" s="202"/>
      <c r="G767" s="202"/>
    </row>
    <row r="768" spans="1:13" s="7" customFormat="1" ht="17.25">
      <c r="A768" s="27" t="s">
        <v>544</v>
      </c>
      <c r="B768" s="200">
        <v>0</v>
      </c>
      <c r="C768" s="200">
        <v>0</v>
      </c>
      <c r="D768" s="200">
        <v>0</v>
      </c>
      <c r="E768" s="200">
        <v>50000</v>
      </c>
      <c r="F768" s="203">
        <v>1</v>
      </c>
      <c r="G768" s="200">
        <v>0</v>
      </c>
      <c r="H768" s="1"/>
      <c r="I768" s="1"/>
      <c r="J768" s="1"/>
      <c r="K768" s="1"/>
      <c r="L768" s="1"/>
      <c r="M768" s="1"/>
    </row>
    <row r="769" spans="1:13" s="7" customFormat="1" ht="17.25">
      <c r="A769" s="26" t="s">
        <v>545</v>
      </c>
      <c r="B769" s="201"/>
      <c r="C769" s="201"/>
      <c r="D769" s="201"/>
      <c r="E769" s="201"/>
      <c r="F769" s="201"/>
      <c r="G769" s="201"/>
      <c r="H769" s="1"/>
      <c r="I769" s="1"/>
      <c r="J769" s="1"/>
      <c r="K769" s="1"/>
      <c r="L769" s="1"/>
      <c r="M769" s="1"/>
    </row>
    <row r="770" spans="1:13" s="7" customFormat="1" ht="17.25">
      <c r="A770" s="27" t="s">
        <v>546</v>
      </c>
      <c r="B770" s="200">
        <v>0</v>
      </c>
      <c r="C770" s="200">
        <v>0</v>
      </c>
      <c r="D770" s="200">
        <v>0</v>
      </c>
      <c r="E770" s="200">
        <v>0</v>
      </c>
      <c r="F770" s="203">
        <v>0</v>
      </c>
      <c r="G770" s="200">
        <v>0</v>
      </c>
      <c r="H770" s="1"/>
      <c r="I770" s="1"/>
      <c r="J770" s="1"/>
      <c r="K770" s="1"/>
      <c r="L770" s="1"/>
      <c r="M770" s="1"/>
    </row>
    <row r="771" spans="1:13" s="7" customFormat="1" ht="17.25">
      <c r="A771" s="24" t="s">
        <v>547</v>
      </c>
      <c r="B771" s="202"/>
      <c r="C771" s="202"/>
      <c r="D771" s="202"/>
      <c r="E771" s="202"/>
      <c r="F771" s="202"/>
      <c r="G771" s="202"/>
      <c r="H771" s="1"/>
      <c r="I771" s="1"/>
      <c r="J771" s="1"/>
      <c r="K771" s="1"/>
      <c r="L771" s="1"/>
      <c r="M771" s="1"/>
    </row>
    <row r="772" spans="1:13" s="7" customFormat="1" ht="17.25">
      <c r="A772" s="22" t="s">
        <v>639</v>
      </c>
      <c r="B772" s="185">
        <v>0</v>
      </c>
      <c r="C772" s="185">
        <v>0</v>
      </c>
      <c r="D772" s="185">
        <v>0</v>
      </c>
      <c r="E772" s="185">
        <v>0</v>
      </c>
      <c r="F772" s="59">
        <v>1</v>
      </c>
      <c r="G772" s="185">
        <v>50000</v>
      </c>
      <c r="H772" s="1"/>
      <c r="I772" s="1"/>
      <c r="J772" s="1"/>
      <c r="K772" s="1"/>
      <c r="L772" s="1"/>
      <c r="M772" s="1"/>
    </row>
    <row r="773" spans="1:13" s="7" customFormat="1" ht="17.25">
      <c r="A773" s="22" t="s">
        <v>548</v>
      </c>
      <c r="B773" s="176">
        <v>11092</v>
      </c>
      <c r="C773" s="176">
        <v>0</v>
      </c>
      <c r="D773" s="176">
        <v>0</v>
      </c>
      <c r="E773" s="176">
        <v>50000</v>
      </c>
      <c r="F773" s="59">
        <v>1</v>
      </c>
      <c r="G773" s="176">
        <v>50000</v>
      </c>
      <c r="H773" s="1"/>
      <c r="I773" s="1"/>
      <c r="J773" s="1"/>
      <c r="K773" s="1"/>
      <c r="L773" s="1"/>
      <c r="M773" s="1"/>
    </row>
    <row r="774" spans="1:13" s="34" customFormat="1" ht="17.25">
      <c r="A774" s="22" t="s">
        <v>549</v>
      </c>
      <c r="B774" s="188">
        <v>0</v>
      </c>
      <c r="C774" s="88">
        <v>0</v>
      </c>
      <c r="D774" s="145">
        <v>0</v>
      </c>
      <c r="E774" s="195">
        <v>84000</v>
      </c>
      <c r="F774" s="146">
        <v>-1</v>
      </c>
      <c r="G774" s="195">
        <v>0</v>
      </c>
      <c r="H774" s="33"/>
      <c r="I774" s="33"/>
      <c r="J774" s="33"/>
      <c r="K774" s="33"/>
      <c r="L774" s="33"/>
      <c r="M774" s="33"/>
    </row>
    <row r="775" spans="1:13" s="7" customFormat="1" ht="17.25">
      <c r="A775" s="27" t="s">
        <v>550</v>
      </c>
      <c r="B775" s="200">
        <v>0</v>
      </c>
      <c r="C775" s="200">
        <v>0</v>
      </c>
      <c r="D775" s="200">
        <v>0</v>
      </c>
      <c r="E775" s="200">
        <v>20000</v>
      </c>
      <c r="F775" s="203">
        <v>-1</v>
      </c>
      <c r="G775" s="200">
        <v>0</v>
      </c>
      <c r="H775" s="1"/>
      <c r="I775" s="1"/>
      <c r="J775" s="1"/>
      <c r="K775" s="1"/>
      <c r="L775" s="1"/>
      <c r="M775" s="1"/>
    </row>
    <row r="776" spans="1:13" s="7" customFormat="1" ht="17.25">
      <c r="A776" s="24" t="s">
        <v>551</v>
      </c>
      <c r="B776" s="202"/>
      <c r="C776" s="202"/>
      <c r="D776" s="202"/>
      <c r="E776" s="202"/>
      <c r="F776" s="202"/>
      <c r="G776" s="202"/>
      <c r="H776" s="1"/>
      <c r="I776" s="1"/>
      <c r="J776" s="1"/>
      <c r="K776" s="1"/>
      <c r="L776" s="1"/>
      <c r="M776" s="1"/>
    </row>
    <row r="777" spans="1:13" s="7" customFormat="1" ht="17.25">
      <c r="A777" s="22" t="s">
        <v>552</v>
      </c>
      <c r="B777" s="166">
        <v>0</v>
      </c>
      <c r="C777" s="166">
        <v>0</v>
      </c>
      <c r="D777" s="166">
        <v>0</v>
      </c>
      <c r="E777" s="166">
        <v>0</v>
      </c>
      <c r="F777" s="172">
        <v>0</v>
      </c>
      <c r="G777" s="166">
        <v>0</v>
      </c>
      <c r="H777" s="1"/>
      <c r="I777" s="1"/>
      <c r="J777" s="1"/>
      <c r="K777" s="1"/>
      <c r="L777" s="1"/>
      <c r="M777" s="1"/>
    </row>
    <row r="778" spans="1:13" s="7" customFormat="1" ht="17.25">
      <c r="A778" s="22" t="s">
        <v>553</v>
      </c>
      <c r="B778" s="166">
        <v>0</v>
      </c>
      <c r="C778" s="166">
        <v>0</v>
      </c>
      <c r="D778" s="166">
        <v>0</v>
      </c>
      <c r="E778" s="166">
        <v>35000</v>
      </c>
      <c r="F778" s="172">
        <v>-1</v>
      </c>
      <c r="G778" s="166">
        <v>0</v>
      </c>
      <c r="H778" s="1"/>
      <c r="I778" s="1"/>
      <c r="J778" s="1"/>
      <c r="K778" s="1"/>
      <c r="L778" s="1"/>
      <c r="M778" s="1"/>
    </row>
    <row r="779" spans="1:13" s="7" customFormat="1" ht="17.25">
      <c r="A779" s="27" t="s">
        <v>640</v>
      </c>
      <c r="B779" s="200">
        <v>0</v>
      </c>
      <c r="C779" s="200">
        <v>0</v>
      </c>
      <c r="D779" s="200">
        <v>0</v>
      </c>
      <c r="E779" s="200">
        <v>0</v>
      </c>
      <c r="F779" s="203">
        <v>1</v>
      </c>
      <c r="G779" s="200">
        <v>70000</v>
      </c>
      <c r="H779" s="1"/>
      <c r="I779" s="1"/>
      <c r="J779" s="1"/>
      <c r="K779" s="1"/>
      <c r="L779" s="1"/>
      <c r="M779" s="1"/>
    </row>
    <row r="780" spans="1:13" s="7" customFormat="1" ht="17.25">
      <c r="A780" s="26" t="s">
        <v>641</v>
      </c>
      <c r="B780" s="201"/>
      <c r="C780" s="201"/>
      <c r="D780" s="201"/>
      <c r="E780" s="201"/>
      <c r="F780" s="201"/>
      <c r="G780" s="201"/>
      <c r="H780" s="1"/>
      <c r="I780" s="1"/>
      <c r="J780" s="1"/>
      <c r="K780" s="1"/>
      <c r="L780" s="1"/>
      <c r="M780" s="1"/>
    </row>
    <row r="781" spans="1:13" ht="17.25">
      <c r="A781" s="22" t="s">
        <v>219</v>
      </c>
      <c r="B781" s="65">
        <v>0</v>
      </c>
      <c r="C781" s="65">
        <v>0</v>
      </c>
      <c r="D781" s="65">
        <v>0</v>
      </c>
      <c r="E781" s="65">
        <v>0</v>
      </c>
      <c r="F781" s="75"/>
      <c r="G781" s="65">
        <v>0</v>
      </c>
    </row>
    <row r="782" spans="1:13" ht="17.25">
      <c r="A782" s="27" t="s">
        <v>220</v>
      </c>
      <c r="B782" s="66">
        <v>0</v>
      </c>
      <c r="C782" s="66">
        <v>0</v>
      </c>
      <c r="D782" s="66">
        <v>0</v>
      </c>
      <c r="E782" s="66">
        <v>0</v>
      </c>
      <c r="F782" s="172"/>
      <c r="G782" s="66">
        <v>0</v>
      </c>
    </row>
    <row r="783" spans="1:13" s="7" customFormat="1" ht="17.25">
      <c r="A783" s="27" t="s">
        <v>356</v>
      </c>
      <c r="B783" s="200">
        <v>0</v>
      </c>
      <c r="C783" s="200">
        <v>0</v>
      </c>
      <c r="D783" s="200">
        <v>0</v>
      </c>
      <c r="E783" s="200">
        <v>0</v>
      </c>
      <c r="F783" s="203"/>
      <c r="G783" s="200">
        <v>0</v>
      </c>
      <c r="H783" s="1"/>
      <c r="I783" s="1"/>
      <c r="J783" s="1"/>
      <c r="K783" s="1"/>
      <c r="L783" s="1"/>
      <c r="M783" s="1"/>
    </row>
    <row r="784" spans="1:13" s="7" customFormat="1" ht="17.25">
      <c r="A784" s="24" t="s">
        <v>357</v>
      </c>
      <c r="B784" s="202"/>
      <c r="C784" s="202"/>
      <c r="D784" s="202"/>
      <c r="E784" s="202"/>
      <c r="F784" s="202"/>
      <c r="G784" s="202"/>
      <c r="H784" s="1"/>
      <c r="I784" s="1"/>
      <c r="J784" s="1"/>
      <c r="K784" s="1"/>
      <c r="L784" s="1"/>
      <c r="M784" s="1"/>
    </row>
    <row r="785" spans="1:13" s="7" customFormat="1" ht="17.25">
      <c r="A785" s="26" t="s">
        <v>221</v>
      </c>
      <c r="B785" s="65">
        <v>0</v>
      </c>
      <c r="C785" s="65">
        <v>0</v>
      </c>
      <c r="D785" s="65">
        <v>0</v>
      </c>
      <c r="E785" s="65">
        <v>0</v>
      </c>
      <c r="F785" s="59"/>
      <c r="G785" s="65">
        <v>0</v>
      </c>
      <c r="H785" s="1"/>
      <c r="I785" s="1"/>
      <c r="J785" s="1"/>
      <c r="K785" s="1"/>
      <c r="L785" s="1"/>
      <c r="M785" s="1"/>
    </row>
    <row r="786" spans="1:13" s="7" customFormat="1" ht="17.25">
      <c r="A786" s="27" t="s">
        <v>358</v>
      </c>
      <c r="B786" s="200">
        <v>0</v>
      </c>
      <c r="C786" s="200">
        <v>0</v>
      </c>
      <c r="D786" s="200">
        <v>55000</v>
      </c>
      <c r="E786" s="200">
        <v>0</v>
      </c>
      <c r="F786" s="203">
        <v>0</v>
      </c>
      <c r="G786" s="200">
        <v>0</v>
      </c>
      <c r="H786" s="1"/>
      <c r="I786" s="1"/>
      <c r="J786" s="1"/>
      <c r="K786" s="1"/>
      <c r="L786" s="1"/>
      <c r="M786" s="1"/>
    </row>
    <row r="787" spans="1:13" s="7" customFormat="1" ht="17.25">
      <c r="A787" s="26" t="s">
        <v>359</v>
      </c>
      <c r="B787" s="201"/>
      <c r="C787" s="201"/>
      <c r="D787" s="201"/>
      <c r="E787" s="201"/>
      <c r="F787" s="201"/>
      <c r="G787" s="201"/>
      <c r="H787" s="1"/>
      <c r="I787" s="1"/>
      <c r="J787" s="1"/>
      <c r="K787" s="1"/>
      <c r="L787" s="1"/>
      <c r="M787" s="1"/>
    </row>
    <row r="788" spans="1:13" s="7" customFormat="1" ht="17.25">
      <c r="A788" s="24" t="s">
        <v>222</v>
      </c>
      <c r="B788" s="202"/>
      <c r="C788" s="202"/>
      <c r="D788" s="202"/>
      <c r="E788" s="202"/>
      <c r="F788" s="202"/>
      <c r="G788" s="202"/>
      <c r="H788" s="1"/>
      <c r="I788" s="1"/>
      <c r="J788" s="1"/>
      <c r="K788" s="1"/>
      <c r="L788" s="1"/>
      <c r="M788" s="1"/>
    </row>
    <row r="789" spans="1:13" s="7" customFormat="1" ht="17.25">
      <c r="A789" s="26" t="s">
        <v>223</v>
      </c>
      <c r="B789" s="65">
        <v>0</v>
      </c>
      <c r="C789" s="65">
        <v>0</v>
      </c>
      <c r="D789" s="65">
        <v>0</v>
      </c>
      <c r="E789" s="65">
        <v>0</v>
      </c>
      <c r="F789" s="59">
        <v>0</v>
      </c>
      <c r="G789" s="65">
        <v>0</v>
      </c>
      <c r="H789" s="1"/>
      <c r="I789" s="1"/>
      <c r="J789" s="1"/>
      <c r="K789" s="1"/>
      <c r="L789" s="1"/>
      <c r="M789" s="1"/>
    </row>
    <row r="790" spans="1:13" s="7" customFormat="1" ht="17.25">
      <c r="A790" s="51" t="s">
        <v>360</v>
      </c>
      <c r="B790" s="200">
        <v>0</v>
      </c>
      <c r="C790" s="200">
        <v>0</v>
      </c>
      <c r="D790" s="200">
        <v>0</v>
      </c>
      <c r="E790" s="200">
        <v>0</v>
      </c>
      <c r="F790" s="203">
        <v>0</v>
      </c>
      <c r="G790" s="200">
        <v>0</v>
      </c>
      <c r="H790" s="1"/>
      <c r="I790" s="1"/>
      <c r="J790" s="1"/>
      <c r="K790" s="1"/>
      <c r="L790" s="1"/>
      <c r="M790" s="1"/>
    </row>
    <row r="791" spans="1:13" s="7" customFormat="1" ht="17.25">
      <c r="A791" s="31" t="s">
        <v>361</v>
      </c>
      <c r="B791" s="202"/>
      <c r="C791" s="202"/>
      <c r="D791" s="202"/>
      <c r="E791" s="202"/>
      <c r="F791" s="202"/>
      <c r="G791" s="202"/>
      <c r="H791" s="1"/>
      <c r="I791" s="1"/>
      <c r="J791" s="1"/>
      <c r="K791" s="1"/>
      <c r="L791" s="1"/>
      <c r="M791" s="1"/>
    </row>
    <row r="792" spans="1:13" s="7" customFormat="1" ht="17.25">
      <c r="A792" s="51" t="s">
        <v>554</v>
      </c>
      <c r="B792" s="200">
        <v>0</v>
      </c>
      <c r="C792" s="200">
        <v>0</v>
      </c>
      <c r="D792" s="200">
        <v>0</v>
      </c>
      <c r="E792" s="200">
        <v>90000</v>
      </c>
      <c r="F792" s="203">
        <v>-1</v>
      </c>
      <c r="G792" s="200">
        <v>0</v>
      </c>
      <c r="H792" s="1"/>
      <c r="I792" s="1"/>
      <c r="J792" s="1"/>
      <c r="K792" s="1"/>
      <c r="L792" s="1"/>
      <c r="M792" s="1"/>
    </row>
    <row r="793" spans="1:13" s="7" customFormat="1" ht="17.25">
      <c r="A793" s="31" t="s">
        <v>555</v>
      </c>
      <c r="B793" s="202"/>
      <c r="C793" s="202"/>
      <c r="D793" s="202"/>
      <c r="E793" s="202"/>
      <c r="F793" s="202"/>
      <c r="G793" s="202"/>
      <c r="H793" s="1"/>
      <c r="I793" s="1"/>
      <c r="J793" s="1"/>
      <c r="K793" s="1"/>
      <c r="L793" s="1"/>
      <c r="M793" s="1"/>
    </row>
    <row r="794" spans="1:13" s="7" customFormat="1" ht="17.25">
      <c r="A794" s="24" t="s">
        <v>224</v>
      </c>
      <c r="B794" s="65">
        <v>0</v>
      </c>
      <c r="C794" s="65">
        <v>0</v>
      </c>
      <c r="D794" s="65">
        <v>0</v>
      </c>
      <c r="E794" s="65">
        <v>0</v>
      </c>
      <c r="F794" s="59">
        <v>0</v>
      </c>
      <c r="G794" s="65">
        <v>0</v>
      </c>
      <c r="H794" s="1"/>
      <c r="I794" s="1"/>
      <c r="J794" s="1"/>
      <c r="K794" s="1"/>
      <c r="L794" s="1"/>
      <c r="M794" s="1"/>
    </row>
    <row r="795" spans="1:13" s="7" customFormat="1" ht="17.25">
      <c r="A795" s="27" t="s">
        <v>225</v>
      </c>
      <c r="B795" s="66">
        <v>0</v>
      </c>
      <c r="C795" s="66">
        <v>0</v>
      </c>
      <c r="D795" s="66">
        <v>57839</v>
      </c>
      <c r="E795" s="66">
        <v>0</v>
      </c>
      <c r="F795" s="172">
        <v>0</v>
      </c>
      <c r="G795" s="66">
        <v>0</v>
      </c>
      <c r="H795" s="1"/>
      <c r="I795" s="1"/>
      <c r="J795" s="1"/>
      <c r="K795" s="1"/>
      <c r="L795" s="1"/>
      <c r="M795" s="1"/>
    </row>
    <row r="796" spans="1:13" s="7" customFormat="1" ht="17.25">
      <c r="A796" s="27" t="s">
        <v>362</v>
      </c>
      <c r="B796" s="200">
        <v>0</v>
      </c>
      <c r="C796" s="200">
        <v>0</v>
      </c>
      <c r="D796" s="200">
        <v>0</v>
      </c>
      <c r="E796" s="200">
        <v>0</v>
      </c>
      <c r="F796" s="203">
        <v>0</v>
      </c>
      <c r="G796" s="200">
        <v>0</v>
      </c>
      <c r="H796" s="1"/>
      <c r="I796" s="1"/>
      <c r="J796" s="1"/>
      <c r="K796" s="1"/>
      <c r="L796" s="1"/>
      <c r="M796" s="1"/>
    </row>
    <row r="797" spans="1:13" s="7" customFormat="1" ht="17.25">
      <c r="A797" s="24" t="s">
        <v>363</v>
      </c>
      <c r="B797" s="202"/>
      <c r="C797" s="202"/>
      <c r="D797" s="202"/>
      <c r="E797" s="202"/>
      <c r="F797" s="202"/>
      <c r="G797" s="202"/>
      <c r="H797" s="1"/>
      <c r="I797" s="1"/>
      <c r="J797" s="1"/>
      <c r="K797" s="1"/>
      <c r="L797" s="1"/>
      <c r="M797" s="1"/>
    </row>
    <row r="798" spans="1:13" s="7" customFormat="1" ht="17.25">
      <c r="A798" s="24" t="s">
        <v>226</v>
      </c>
      <c r="B798" s="65">
        <v>0</v>
      </c>
      <c r="C798" s="65">
        <v>0</v>
      </c>
      <c r="D798" s="65">
        <v>0</v>
      </c>
      <c r="E798" s="65">
        <v>0</v>
      </c>
      <c r="F798" s="59">
        <v>0</v>
      </c>
      <c r="G798" s="65">
        <v>0</v>
      </c>
      <c r="H798" s="1"/>
      <c r="I798" s="1"/>
      <c r="J798" s="1"/>
      <c r="K798" s="1"/>
      <c r="L798" s="1"/>
      <c r="M798" s="1"/>
    </row>
    <row r="799" spans="1:13" s="7" customFormat="1" ht="17.25">
      <c r="A799" s="22" t="s">
        <v>227</v>
      </c>
      <c r="B799" s="66">
        <v>0</v>
      </c>
      <c r="C799" s="66">
        <v>92172</v>
      </c>
      <c r="D799" s="66">
        <v>0</v>
      </c>
      <c r="E799" s="66">
        <v>0</v>
      </c>
      <c r="F799" s="172"/>
      <c r="G799" s="66">
        <v>0</v>
      </c>
      <c r="H799" s="1"/>
      <c r="I799" s="1"/>
      <c r="J799" s="1"/>
      <c r="K799" s="1"/>
      <c r="L799" s="1"/>
      <c r="M799" s="1"/>
    </row>
    <row r="800" spans="1:13" s="7" customFormat="1" ht="17.25">
      <c r="A800" s="22" t="s">
        <v>642</v>
      </c>
      <c r="B800" s="66">
        <v>0</v>
      </c>
      <c r="C800" s="66">
        <v>0</v>
      </c>
      <c r="D800" s="66">
        <v>0</v>
      </c>
      <c r="E800" s="66">
        <v>0</v>
      </c>
      <c r="F800" s="183">
        <v>1</v>
      </c>
      <c r="G800" s="66">
        <v>30000</v>
      </c>
      <c r="H800" s="1"/>
      <c r="I800" s="1"/>
      <c r="J800" s="1"/>
      <c r="K800" s="1"/>
      <c r="L800" s="1"/>
      <c r="M800" s="1"/>
    </row>
    <row r="801" spans="1:12" s="7" customFormat="1" ht="17.25">
      <c r="A801" s="15" t="s">
        <v>50</v>
      </c>
      <c r="B801" s="92">
        <f>B773</f>
        <v>11092</v>
      </c>
      <c r="C801" s="92">
        <f>92172</f>
        <v>92172</v>
      </c>
      <c r="D801" s="92">
        <f>D786+D795</f>
        <v>112839</v>
      </c>
      <c r="E801" s="92">
        <f>E768+E769+E770+E771+E773+E774+E775+E776+E777+E778+E792+E793</f>
        <v>329000</v>
      </c>
      <c r="F801" s="88"/>
      <c r="G801" s="92">
        <f>G772+G773+G779+G800</f>
        <v>200000</v>
      </c>
      <c r="H801" s="1"/>
      <c r="I801" s="1"/>
      <c r="J801" s="1"/>
      <c r="K801" s="1"/>
      <c r="L801" s="1"/>
    </row>
    <row r="802" spans="1:12" s="7" customFormat="1" ht="17.25">
      <c r="A802" s="16" t="s">
        <v>68</v>
      </c>
      <c r="B802" s="60">
        <f>B801</f>
        <v>11092</v>
      </c>
      <c r="C802" s="60">
        <f>C801</f>
        <v>92172</v>
      </c>
      <c r="D802" s="60">
        <f>D801</f>
        <v>112839</v>
      </c>
      <c r="E802" s="60">
        <f>E801</f>
        <v>329000</v>
      </c>
      <c r="F802" s="73"/>
      <c r="G802" s="60">
        <f>G801</f>
        <v>200000</v>
      </c>
      <c r="H802" s="1"/>
      <c r="I802" s="1"/>
      <c r="J802" s="1"/>
      <c r="K802" s="1"/>
      <c r="L802" s="1"/>
    </row>
    <row r="803" spans="1:12" s="7" customFormat="1" ht="17.25">
      <c r="A803" s="21" t="s">
        <v>228</v>
      </c>
      <c r="B803" s="57"/>
      <c r="C803" s="57"/>
      <c r="D803" s="57"/>
      <c r="E803" s="57"/>
      <c r="F803" s="165"/>
      <c r="G803" s="57"/>
      <c r="H803" s="1"/>
      <c r="I803" s="1"/>
      <c r="J803" s="1"/>
      <c r="K803" s="1"/>
      <c r="L803" s="1"/>
    </row>
    <row r="804" spans="1:12" s="7" customFormat="1" ht="17.25">
      <c r="A804" s="22" t="s">
        <v>161</v>
      </c>
      <c r="B804" s="65"/>
      <c r="C804" s="65"/>
      <c r="D804" s="65"/>
      <c r="E804" s="65"/>
      <c r="F804" s="176"/>
      <c r="G804" s="65"/>
      <c r="H804" s="1"/>
      <c r="I804" s="1"/>
      <c r="J804" s="1"/>
      <c r="K804" s="1"/>
      <c r="L804" s="1"/>
    </row>
    <row r="805" spans="1:12" s="7" customFormat="1" ht="17.25">
      <c r="A805" s="24" t="s">
        <v>181</v>
      </c>
      <c r="B805" s="66">
        <v>0</v>
      </c>
      <c r="C805" s="66">
        <v>0</v>
      </c>
      <c r="D805" s="66">
        <v>0</v>
      </c>
      <c r="E805" s="66">
        <v>0</v>
      </c>
      <c r="F805" s="172">
        <v>0</v>
      </c>
      <c r="G805" s="66">
        <v>0</v>
      </c>
      <c r="H805" s="1"/>
      <c r="I805" s="1"/>
      <c r="J805" s="1"/>
      <c r="K805" s="1"/>
      <c r="L805" s="1"/>
    </row>
    <row r="806" spans="1:12" s="7" customFormat="1" ht="17.25">
      <c r="A806" s="22" t="s">
        <v>97</v>
      </c>
      <c r="B806" s="65">
        <v>0</v>
      </c>
      <c r="C806" s="65">
        <v>0</v>
      </c>
      <c r="D806" s="65">
        <v>0</v>
      </c>
      <c r="E806" s="65">
        <v>0</v>
      </c>
      <c r="F806" s="59">
        <v>0</v>
      </c>
      <c r="G806" s="65">
        <v>0</v>
      </c>
      <c r="H806" s="1"/>
      <c r="I806" s="1"/>
      <c r="J806" s="1"/>
      <c r="K806" s="1"/>
      <c r="L806" s="1"/>
    </row>
    <row r="807" spans="1:12" s="7" customFormat="1" ht="17.25">
      <c r="A807" s="37" t="s">
        <v>98</v>
      </c>
      <c r="B807" s="93">
        <v>0</v>
      </c>
      <c r="C807" s="93">
        <v>0</v>
      </c>
      <c r="D807" s="93">
        <v>0</v>
      </c>
      <c r="E807" s="93">
        <v>0</v>
      </c>
      <c r="F807" s="73"/>
      <c r="G807" s="93">
        <v>0</v>
      </c>
      <c r="H807" s="1"/>
      <c r="I807" s="1"/>
      <c r="J807" s="1"/>
      <c r="K807" s="1"/>
      <c r="L807" s="1"/>
    </row>
    <row r="808" spans="1:12" ht="17.25">
      <c r="A808" s="32" t="s">
        <v>99</v>
      </c>
      <c r="B808" s="92">
        <v>0</v>
      </c>
      <c r="C808" s="92">
        <v>0</v>
      </c>
      <c r="D808" s="92">
        <v>0</v>
      </c>
      <c r="E808" s="92">
        <v>0</v>
      </c>
      <c r="F808" s="88"/>
      <c r="G808" s="92">
        <v>0</v>
      </c>
      <c r="H808" s="1"/>
      <c r="I808" s="1"/>
      <c r="J808" s="1"/>
      <c r="K808" s="1"/>
      <c r="L808" s="1"/>
    </row>
    <row r="809" spans="1:12" ht="17.25">
      <c r="A809" s="16" t="s">
        <v>229</v>
      </c>
      <c r="B809" s="93">
        <f>B802</f>
        <v>11092</v>
      </c>
      <c r="C809" s="93">
        <f>C802+C808</f>
        <v>92172</v>
      </c>
      <c r="D809" s="93">
        <f>D802+D808</f>
        <v>112839</v>
      </c>
      <c r="E809" s="93">
        <f>E802</f>
        <v>329000</v>
      </c>
      <c r="F809" s="73"/>
      <c r="G809" s="93">
        <f>G802</f>
        <v>200000</v>
      </c>
      <c r="H809" s="1"/>
      <c r="I809" s="1"/>
      <c r="J809" s="1"/>
      <c r="K809" s="1"/>
      <c r="L809" s="1"/>
    </row>
    <row r="810" spans="1:12" ht="17.25">
      <c r="A810" s="32" t="s">
        <v>230</v>
      </c>
      <c r="B810" s="102">
        <f>B802</f>
        <v>11092</v>
      </c>
      <c r="C810" s="102">
        <f>C809</f>
        <v>92172</v>
      </c>
      <c r="D810" s="102">
        <f>D809</f>
        <v>112839</v>
      </c>
      <c r="E810" s="102">
        <f>E809</f>
        <v>329000</v>
      </c>
      <c r="F810" s="101"/>
      <c r="G810" s="102">
        <f>G802</f>
        <v>200000</v>
      </c>
      <c r="H810" s="1"/>
      <c r="I810" s="1"/>
      <c r="J810" s="1"/>
      <c r="K810" s="1"/>
      <c r="L810" s="1"/>
    </row>
    <row r="811" spans="1:12" ht="17.25">
      <c r="A811" s="21" t="s">
        <v>231</v>
      </c>
      <c r="B811" s="83"/>
      <c r="C811" s="83"/>
      <c r="D811" s="83"/>
      <c r="E811" s="83"/>
      <c r="F811" s="164"/>
      <c r="G811" s="83"/>
      <c r="H811" s="1"/>
      <c r="I811" s="1"/>
      <c r="J811" s="1"/>
      <c r="K811" s="1"/>
      <c r="L811" s="1"/>
    </row>
    <row r="812" spans="1:12" ht="17.25">
      <c r="A812" s="149" t="s">
        <v>556</v>
      </c>
      <c r="B812" s="83"/>
      <c r="C812" s="83"/>
      <c r="D812" s="83"/>
      <c r="E812" s="83"/>
      <c r="F812" s="164"/>
      <c r="G812" s="83"/>
      <c r="H812" s="1"/>
      <c r="I812" s="1"/>
      <c r="J812" s="1"/>
      <c r="K812" s="1"/>
      <c r="L812" s="1"/>
    </row>
    <row r="813" spans="1:12" ht="17.25">
      <c r="A813" s="21" t="s">
        <v>94</v>
      </c>
      <c r="B813" s="83"/>
      <c r="C813" s="83"/>
      <c r="D813" s="83"/>
      <c r="E813" s="83"/>
      <c r="F813" s="164"/>
      <c r="G813" s="83"/>
      <c r="H813" s="1"/>
      <c r="I813" s="1"/>
      <c r="J813" s="1"/>
      <c r="K813" s="1"/>
      <c r="L813" s="1"/>
    </row>
    <row r="814" spans="1:12" ht="17.25">
      <c r="A814" s="22" t="s">
        <v>161</v>
      </c>
      <c r="B814" s="83"/>
      <c r="C814" s="83"/>
      <c r="D814" s="83"/>
      <c r="E814" s="83"/>
      <c r="F814" s="164"/>
      <c r="G814" s="83"/>
      <c r="H814" s="1"/>
      <c r="I814" s="1"/>
      <c r="J814" s="1"/>
      <c r="K814" s="1"/>
      <c r="L814" s="1"/>
    </row>
    <row r="815" spans="1:12" ht="17.25">
      <c r="A815" s="24" t="s">
        <v>96</v>
      </c>
      <c r="B815" s="83">
        <v>0</v>
      </c>
      <c r="C815" s="83">
        <v>0</v>
      </c>
      <c r="D815" s="83">
        <v>40000</v>
      </c>
      <c r="E815" s="83">
        <v>0</v>
      </c>
      <c r="F815" s="167">
        <v>0</v>
      </c>
      <c r="G815" s="83">
        <v>0</v>
      </c>
      <c r="H815" s="1"/>
      <c r="I815" s="1"/>
      <c r="J815" s="1"/>
      <c r="K815" s="1"/>
      <c r="L815" s="1"/>
    </row>
    <row r="816" spans="1:12" ht="17.25">
      <c r="A816" s="37" t="s">
        <v>98</v>
      </c>
      <c r="B816" s="97">
        <v>0</v>
      </c>
      <c r="C816" s="97">
        <v>0</v>
      </c>
      <c r="D816" s="97">
        <f>D815</f>
        <v>40000</v>
      </c>
      <c r="E816" s="97">
        <v>0</v>
      </c>
      <c r="F816" s="98"/>
      <c r="G816" s="97">
        <v>0</v>
      </c>
      <c r="H816" s="1"/>
      <c r="I816" s="1"/>
      <c r="J816" s="1"/>
      <c r="K816" s="1"/>
      <c r="L816" s="1"/>
    </row>
    <row r="817" spans="1:12" ht="17.25">
      <c r="A817" s="32" t="s">
        <v>99</v>
      </c>
      <c r="B817" s="97">
        <v>0</v>
      </c>
      <c r="C817" s="97">
        <v>0</v>
      </c>
      <c r="D817" s="97">
        <f>D816</f>
        <v>40000</v>
      </c>
      <c r="E817" s="97">
        <v>0</v>
      </c>
      <c r="F817" s="98"/>
      <c r="G817" s="97">
        <v>0</v>
      </c>
      <c r="H817" s="1"/>
      <c r="I817" s="1"/>
      <c r="J817" s="1"/>
      <c r="K817" s="1"/>
      <c r="L817" s="1"/>
    </row>
    <row r="818" spans="1:12" ht="17.25">
      <c r="A818" s="150" t="s">
        <v>557</v>
      </c>
      <c r="B818" s="97">
        <v>0</v>
      </c>
      <c r="C818" s="97">
        <v>0</v>
      </c>
      <c r="D818" s="97">
        <f>D817</f>
        <v>40000</v>
      </c>
      <c r="E818" s="97">
        <v>0</v>
      </c>
      <c r="F818" s="98"/>
      <c r="G818" s="97">
        <v>0</v>
      </c>
      <c r="H818" s="1"/>
      <c r="I818" s="1"/>
      <c r="J818" s="1"/>
      <c r="K818" s="1"/>
      <c r="L818" s="1"/>
    </row>
    <row r="819" spans="1:12" ht="17.25">
      <c r="A819" s="21" t="s">
        <v>232</v>
      </c>
      <c r="B819" s="65"/>
      <c r="C819" s="65"/>
      <c r="D819" s="65"/>
      <c r="E819" s="65"/>
      <c r="F819" s="176"/>
      <c r="G819" s="65"/>
      <c r="H819" s="1"/>
      <c r="I819" s="1"/>
      <c r="J819" s="1"/>
      <c r="K819" s="1"/>
      <c r="L819" s="1"/>
    </row>
    <row r="820" spans="1:12" ht="17.25">
      <c r="A820" s="21" t="s">
        <v>105</v>
      </c>
      <c r="B820" s="66"/>
      <c r="C820" s="66"/>
      <c r="D820" s="66"/>
      <c r="E820" s="66"/>
      <c r="F820" s="181"/>
      <c r="G820" s="66"/>
      <c r="H820" s="1"/>
      <c r="I820" s="1"/>
      <c r="J820" s="1"/>
      <c r="K820" s="1"/>
      <c r="L820" s="1"/>
    </row>
    <row r="821" spans="1:12" ht="17.25">
      <c r="A821" s="21" t="s">
        <v>24</v>
      </c>
      <c r="B821" s="83"/>
      <c r="C821" s="83"/>
      <c r="D821" s="83"/>
      <c r="E821" s="83"/>
      <c r="F821" s="180"/>
      <c r="G821" s="83"/>
      <c r="H821" s="1"/>
      <c r="I821" s="1"/>
      <c r="J821" s="1"/>
      <c r="K821" s="1"/>
      <c r="L821" s="1"/>
    </row>
    <row r="822" spans="1:12" ht="17.25">
      <c r="A822" s="22" t="s">
        <v>643</v>
      </c>
      <c r="B822" s="83">
        <v>0</v>
      </c>
      <c r="C822" s="83">
        <v>0</v>
      </c>
      <c r="D822" s="83">
        <v>0</v>
      </c>
      <c r="E822" s="83">
        <v>0</v>
      </c>
      <c r="F822" s="182">
        <v>1</v>
      </c>
      <c r="G822" s="83">
        <v>270400</v>
      </c>
      <c r="H822" s="1"/>
      <c r="I822" s="1"/>
      <c r="J822" s="1"/>
      <c r="K822" s="1"/>
      <c r="L822" s="1"/>
    </row>
    <row r="823" spans="1:12" ht="17.25">
      <c r="A823" s="21" t="s">
        <v>210</v>
      </c>
      <c r="B823" s="65">
        <v>0</v>
      </c>
      <c r="C823" s="65">
        <v>0</v>
      </c>
      <c r="D823" s="65">
        <v>0</v>
      </c>
      <c r="E823" s="65">
        <v>0</v>
      </c>
      <c r="F823" s="119">
        <v>1</v>
      </c>
      <c r="G823" s="65">
        <v>108000</v>
      </c>
      <c r="H823" s="1"/>
      <c r="I823" s="1"/>
      <c r="J823" s="1"/>
      <c r="K823" s="1"/>
      <c r="L823" s="1"/>
    </row>
    <row r="824" spans="1:12" ht="17.25">
      <c r="A824" s="22" t="s">
        <v>211</v>
      </c>
      <c r="B824" s="66">
        <v>0</v>
      </c>
      <c r="C824" s="66">
        <v>0</v>
      </c>
      <c r="D824" s="66">
        <v>0</v>
      </c>
      <c r="E824" s="66">
        <v>0</v>
      </c>
      <c r="F824" s="105">
        <v>1</v>
      </c>
      <c r="G824" s="66">
        <v>12000</v>
      </c>
      <c r="H824" s="1"/>
      <c r="I824" s="1"/>
      <c r="J824" s="1"/>
      <c r="K824" s="1"/>
      <c r="L824" s="1"/>
    </row>
    <row r="825" spans="1:12" ht="17.25">
      <c r="A825" s="16" t="s">
        <v>107</v>
      </c>
      <c r="B825" s="97">
        <v>0</v>
      </c>
      <c r="C825" s="97">
        <f>C823+C824</f>
        <v>0</v>
      </c>
      <c r="D825" s="97">
        <v>0</v>
      </c>
      <c r="E825" s="97">
        <f>E823+E824</f>
        <v>0</v>
      </c>
      <c r="F825" s="98"/>
      <c r="G825" s="97">
        <f>G823+G824+G822</f>
        <v>390400</v>
      </c>
    </row>
    <row r="826" spans="1:12" ht="17.25">
      <c r="A826" s="37" t="s">
        <v>108</v>
      </c>
      <c r="B826" s="93">
        <v>0</v>
      </c>
      <c r="C826" s="93">
        <f>C825</f>
        <v>0</v>
      </c>
      <c r="D826" s="93">
        <v>0</v>
      </c>
      <c r="E826" s="93">
        <f>E825</f>
        <v>0</v>
      </c>
      <c r="F826" s="73"/>
      <c r="G826" s="93">
        <f>G825</f>
        <v>390400</v>
      </c>
    </row>
    <row r="827" spans="1:12" ht="17.25">
      <c r="A827" s="21" t="s">
        <v>33</v>
      </c>
      <c r="B827" s="18"/>
      <c r="C827" s="18"/>
      <c r="D827" s="18"/>
      <c r="E827" s="18"/>
      <c r="F827" s="18"/>
      <c r="G827" s="18"/>
    </row>
    <row r="828" spans="1:12" ht="17.25">
      <c r="A828" s="30" t="s">
        <v>34</v>
      </c>
      <c r="B828" s="18"/>
      <c r="C828" s="18"/>
      <c r="D828" s="18"/>
      <c r="E828" s="18"/>
      <c r="F828" s="18"/>
      <c r="G828" s="18"/>
    </row>
    <row r="829" spans="1:12" ht="17.25">
      <c r="A829" s="27" t="s">
        <v>301</v>
      </c>
      <c r="B829" s="200">
        <v>0</v>
      </c>
      <c r="C829" s="200">
        <v>0</v>
      </c>
      <c r="D829" s="200">
        <v>0</v>
      </c>
      <c r="E829" s="200">
        <v>0</v>
      </c>
      <c r="F829" s="208">
        <v>1</v>
      </c>
      <c r="G829" s="200">
        <v>20000</v>
      </c>
    </row>
    <row r="830" spans="1:12" ht="17.25">
      <c r="A830" s="24" t="s">
        <v>302</v>
      </c>
      <c r="B830" s="202"/>
      <c r="C830" s="202"/>
      <c r="D830" s="202"/>
      <c r="E830" s="202"/>
      <c r="F830" s="209"/>
      <c r="G830" s="202"/>
    </row>
    <row r="831" spans="1:12" ht="17.25">
      <c r="A831" s="24" t="s">
        <v>110</v>
      </c>
      <c r="B831" s="181">
        <v>0</v>
      </c>
      <c r="C831" s="181">
        <v>0</v>
      </c>
      <c r="D831" s="181">
        <v>0</v>
      </c>
      <c r="E831" s="181">
        <v>0</v>
      </c>
      <c r="F831" s="146">
        <v>1</v>
      </c>
      <c r="G831" s="181">
        <v>10000</v>
      </c>
    </row>
    <row r="832" spans="1:12" ht="17.25">
      <c r="A832" s="32" t="s">
        <v>40</v>
      </c>
      <c r="B832" s="92">
        <v>0</v>
      </c>
      <c r="C832" s="92">
        <v>0</v>
      </c>
      <c r="D832" s="92">
        <v>0</v>
      </c>
      <c r="E832" s="92">
        <v>0</v>
      </c>
      <c r="F832" s="35"/>
      <c r="G832" s="92">
        <f>G829+G831</f>
        <v>30000</v>
      </c>
    </row>
    <row r="833" spans="1:12" s="7" customFormat="1" ht="17.25">
      <c r="A833" s="21" t="s">
        <v>41</v>
      </c>
      <c r="B833" s="19"/>
      <c r="C833" s="19"/>
      <c r="D833" s="19"/>
      <c r="E833" s="19"/>
      <c r="F833" s="53"/>
      <c r="G833" s="19"/>
      <c r="H833" s="1"/>
      <c r="I833" s="1"/>
      <c r="J833" s="1"/>
      <c r="K833" s="1"/>
      <c r="L833" s="1"/>
    </row>
    <row r="834" spans="1:12" s="7" customFormat="1" ht="17.25">
      <c r="A834" s="36" t="s">
        <v>241</v>
      </c>
      <c r="B834" s="19"/>
      <c r="C834" s="19"/>
      <c r="D834" s="19"/>
      <c r="E834" s="19"/>
      <c r="F834" s="53"/>
      <c r="G834" s="19"/>
      <c r="H834" s="1"/>
      <c r="I834" s="1"/>
      <c r="J834" s="1"/>
      <c r="K834" s="1"/>
      <c r="L834" s="1"/>
    </row>
    <row r="835" spans="1:12" ht="17.25">
      <c r="A835" s="24" t="s">
        <v>242</v>
      </c>
      <c r="B835" s="66">
        <v>0</v>
      </c>
      <c r="C835" s="66">
        <v>0</v>
      </c>
      <c r="D835" s="66">
        <v>0</v>
      </c>
      <c r="E835" s="66">
        <v>0</v>
      </c>
      <c r="F835" s="172"/>
      <c r="G835" s="66">
        <v>0</v>
      </c>
      <c r="H835" s="1"/>
      <c r="I835" s="1"/>
      <c r="J835" s="1"/>
      <c r="K835" s="1"/>
      <c r="L835" s="1"/>
    </row>
    <row r="836" spans="1:12" ht="17.25">
      <c r="A836" s="24" t="s">
        <v>243</v>
      </c>
      <c r="B836" s="65">
        <v>150000</v>
      </c>
      <c r="C836" s="65">
        <f>37830+83000</f>
        <v>120830</v>
      </c>
      <c r="D836" s="65">
        <v>0</v>
      </c>
      <c r="E836" s="65">
        <v>0</v>
      </c>
      <c r="F836" s="59">
        <v>0</v>
      </c>
      <c r="G836" s="65">
        <v>0</v>
      </c>
      <c r="H836" s="1"/>
      <c r="I836" s="1"/>
      <c r="J836" s="1"/>
      <c r="K836" s="1"/>
      <c r="L836" s="1"/>
    </row>
    <row r="837" spans="1:12" ht="17.25">
      <c r="A837" s="22" t="s">
        <v>246</v>
      </c>
      <c r="B837" s="66">
        <v>0</v>
      </c>
      <c r="C837" s="66">
        <v>0</v>
      </c>
      <c r="D837" s="66">
        <v>0</v>
      </c>
      <c r="E837" s="66">
        <v>0</v>
      </c>
      <c r="F837" s="172">
        <v>0</v>
      </c>
      <c r="G837" s="66">
        <v>0</v>
      </c>
    </row>
    <row r="838" spans="1:12" ht="17.25">
      <c r="A838" s="26" t="s">
        <v>147</v>
      </c>
      <c r="B838" s="66">
        <v>50000</v>
      </c>
      <c r="C838" s="66">
        <v>0</v>
      </c>
      <c r="D838" s="66">
        <v>0</v>
      </c>
      <c r="E838" s="66">
        <v>50000</v>
      </c>
      <c r="F838" s="172">
        <v>1</v>
      </c>
      <c r="G838" s="66">
        <v>40000</v>
      </c>
      <c r="H838" s="1"/>
      <c r="I838" s="1"/>
      <c r="J838" s="1"/>
      <c r="K838" s="1"/>
      <c r="L838" s="1"/>
    </row>
    <row r="839" spans="1:12" ht="17.25">
      <c r="A839" s="27" t="s">
        <v>644</v>
      </c>
      <c r="B839" s="200">
        <v>100000</v>
      </c>
      <c r="C839" s="200">
        <v>0</v>
      </c>
      <c r="D839" s="200">
        <v>0</v>
      </c>
      <c r="E839" s="200">
        <v>100000</v>
      </c>
      <c r="F839" s="203">
        <v>1</v>
      </c>
      <c r="G839" s="200">
        <v>90000</v>
      </c>
      <c r="H839" s="1"/>
      <c r="I839" s="1"/>
      <c r="J839" s="1"/>
      <c r="K839" s="1"/>
      <c r="L839" s="1"/>
    </row>
    <row r="840" spans="1:12" ht="17.25">
      <c r="A840" s="24" t="s">
        <v>670</v>
      </c>
      <c r="B840" s="202"/>
      <c r="C840" s="202"/>
      <c r="D840" s="202"/>
      <c r="E840" s="202"/>
      <c r="F840" s="202"/>
      <c r="G840" s="202"/>
      <c r="H840" s="1"/>
      <c r="I840" s="1"/>
      <c r="J840" s="1"/>
      <c r="K840" s="1"/>
      <c r="L840" s="1"/>
    </row>
    <row r="841" spans="1:12" ht="17.25">
      <c r="A841" s="24" t="s">
        <v>245</v>
      </c>
      <c r="B841" s="65">
        <v>0</v>
      </c>
      <c r="C841" s="65">
        <v>0</v>
      </c>
      <c r="D841" s="65">
        <v>0</v>
      </c>
      <c r="E841" s="65">
        <v>0</v>
      </c>
      <c r="F841" s="59"/>
      <c r="G841" s="65">
        <v>0</v>
      </c>
      <c r="H841" s="1"/>
      <c r="I841" s="1"/>
      <c r="J841" s="1"/>
      <c r="K841" s="1"/>
      <c r="L841" s="1"/>
    </row>
    <row r="842" spans="1:12" ht="17.25">
      <c r="A842" s="24" t="s">
        <v>246</v>
      </c>
      <c r="B842" s="66">
        <v>100000</v>
      </c>
      <c r="C842" s="66">
        <v>65000</v>
      </c>
      <c r="D842" s="66">
        <v>0</v>
      </c>
      <c r="E842" s="66">
        <v>0</v>
      </c>
      <c r="F842" s="172"/>
      <c r="G842" s="66">
        <v>0</v>
      </c>
      <c r="H842" s="1"/>
      <c r="I842" s="1"/>
      <c r="J842" s="1"/>
      <c r="K842" s="1"/>
      <c r="L842" s="1"/>
    </row>
    <row r="843" spans="1:12" ht="17.25">
      <c r="A843" s="24" t="s">
        <v>243</v>
      </c>
      <c r="B843" s="83">
        <v>0</v>
      </c>
      <c r="C843" s="83">
        <v>0</v>
      </c>
      <c r="D843" s="83">
        <f>15000+20720</f>
        <v>35720</v>
      </c>
      <c r="E843" s="83">
        <v>0</v>
      </c>
      <c r="F843" s="167">
        <v>-1</v>
      </c>
      <c r="G843" s="83">
        <v>0</v>
      </c>
    </row>
    <row r="844" spans="1:12" ht="17.25">
      <c r="A844" s="24" t="s">
        <v>244</v>
      </c>
      <c r="B844" s="65">
        <v>0</v>
      </c>
      <c r="C844" s="65">
        <v>0</v>
      </c>
      <c r="D844" s="65">
        <f>15000+20000</f>
        <v>35000</v>
      </c>
      <c r="E844" s="65">
        <v>0</v>
      </c>
      <c r="F844" s="59">
        <v>-1</v>
      </c>
      <c r="G844" s="65">
        <v>0</v>
      </c>
    </row>
    <row r="845" spans="1:12" ht="17.25">
      <c r="A845" s="22" t="s">
        <v>246</v>
      </c>
      <c r="B845" s="66">
        <v>0</v>
      </c>
      <c r="C845" s="66">
        <v>0</v>
      </c>
      <c r="D845" s="66">
        <f>25597+50000</f>
        <v>75597</v>
      </c>
      <c r="E845" s="66">
        <v>0</v>
      </c>
      <c r="F845" s="172">
        <v>-1</v>
      </c>
      <c r="G845" s="66">
        <v>0</v>
      </c>
    </row>
    <row r="846" spans="1:12" ht="17.25">
      <c r="A846" s="16" t="s">
        <v>50</v>
      </c>
      <c r="B846" s="93">
        <f>SUM(B836:B845)</f>
        <v>400000</v>
      </c>
      <c r="C846" s="93">
        <f>SUM(C835:C845)</f>
        <v>185830</v>
      </c>
      <c r="D846" s="93">
        <f>SUM(D835:D845)</f>
        <v>146317</v>
      </c>
      <c r="E846" s="93">
        <f>SUM(E835:E845)</f>
        <v>150000</v>
      </c>
      <c r="F846" s="73"/>
      <c r="G846" s="93">
        <f>SUM(G835:G845)</f>
        <v>130000</v>
      </c>
    </row>
    <row r="847" spans="1:12" ht="17.25">
      <c r="A847" s="30" t="s">
        <v>51</v>
      </c>
      <c r="B847" s="66"/>
      <c r="C847" s="66"/>
      <c r="D847" s="66"/>
      <c r="E847" s="66"/>
      <c r="F847" s="66"/>
      <c r="G847" s="66"/>
    </row>
    <row r="848" spans="1:12" ht="17.25">
      <c r="A848" s="22" t="s">
        <v>235</v>
      </c>
      <c r="B848" s="66">
        <v>0</v>
      </c>
      <c r="C848" s="66">
        <v>0</v>
      </c>
      <c r="D848" s="66">
        <v>0</v>
      </c>
      <c r="E848" s="66">
        <v>30000</v>
      </c>
      <c r="F848" s="183">
        <v>-1</v>
      </c>
      <c r="G848" s="66">
        <v>0</v>
      </c>
    </row>
    <row r="849" spans="1:13" ht="17.25">
      <c r="A849" s="15" t="s">
        <v>60</v>
      </c>
      <c r="B849" s="92">
        <v>0</v>
      </c>
      <c r="C849" s="92">
        <v>0</v>
      </c>
      <c r="D849" s="92">
        <v>0</v>
      </c>
      <c r="E849" s="92">
        <f>E848</f>
        <v>30000</v>
      </c>
      <c r="F849" s="92"/>
      <c r="G849" s="92">
        <v>0</v>
      </c>
    </row>
    <row r="850" spans="1:13" ht="17.25">
      <c r="A850" s="23" t="s">
        <v>61</v>
      </c>
      <c r="B850" s="19"/>
      <c r="C850" s="19"/>
      <c r="D850" s="19"/>
      <c r="E850" s="19"/>
      <c r="F850" s="19"/>
      <c r="G850" s="19"/>
    </row>
    <row r="851" spans="1:13" ht="17.25">
      <c r="A851" s="24" t="s">
        <v>62</v>
      </c>
      <c r="B851" s="66">
        <v>0</v>
      </c>
      <c r="C851" s="66">
        <v>4283.5</v>
      </c>
      <c r="D851" s="66">
        <v>3179.18</v>
      </c>
      <c r="E851" s="66">
        <v>4000</v>
      </c>
      <c r="F851" s="140" t="s">
        <v>322</v>
      </c>
      <c r="G851" s="66">
        <v>4000</v>
      </c>
    </row>
    <row r="852" spans="1:13" ht="17.25">
      <c r="A852" s="15" t="s">
        <v>67</v>
      </c>
      <c r="B852" s="93">
        <f>B851</f>
        <v>0</v>
      </c>
      <c r="C852" s="93">
        <f>C851</f>
        <v>4283.5</v>
      </c>
      <c r="D852" s="93">
        <f>D851</f>
        <v>3179.18</v>
      </c>
      <c r="E852" s="93">
        <f>E851</f>
        <v>4000</v>
      </c>
      <c r="F852" s="73"/>
      <c r="G852" s="93">
        <f>G851</f>
        <v>4000</v>
      </c>
    </row>
    <row r="853" spans="1:13" ht="17.25">
      <c r="A853" s="16" t="s">
        <v>68</v>
      </c>
      <c r="B853" s="92">
        <f>B832+B846+B849+B852</f>
        <v>400000</v>
      </c>
      <c r="C853" s="92">
        <f>C832+C846+C849+C852</f>
        <v>190113.5</v>
      </c>
      <c r="D853" s="92">
        <f>D832+D846+D849+D852</f>
        <v>149496.18</v>
      </c>
      <c r="E853" s="92">
        <f>E832+E846+E849+E852</f>
        <v>184000</v>
      </c>
      <c r="F853" s="88"/>
      <c r="G853" s="92">
        <f>G832+G846+G849+G852</f>
        <v>164000</v>
      </c>
    </row>
    <row r="854" spans="1:13" s="7" customFormat="1" ht="17.25">
      <c r="A854" s="21" t="s">
        <v>69</v>
      </c>
      <c r="B854" s="65"/>
      <c r="C854" s="65"/>
      <c r="D854" s="65"/>
      <c r="E854" s="65"/>
      <c r="F854" s="176"/>
      <c r="G854" s="65"/>
      <c r="H854" s="1"/>
      <c r="I854" s="1"/>
      <c r="J854" s="1"/>
      <c r="K854" s="1"/>
      <c r="L854" s="1"/>
      <c r="M854" s="1"/>
    </row>
    <row r="855" spans="1:13" s="7" customFormat="1" ht="17.25">
      <c r="A855" s="22" t="s">
        <v>254</v>
      </c>
      <c r="B855" s="66"/>
      <c r="C855" s="66"/>
      <c r="D855" s="66"/>
      <c r="E855" s="66"/>
      <c r="F855" s="181"/>
      <c r="G855" s="66"/>
      <c r="H855" s="1"/>
      <c r="I855" s="1"/>
      <c r="J855" s="1"/>
      <c r="K855" s="1"/>
      <c r="L855" s="1"/>
      <c r="M855" s="1"/>
    </row>
    <row r="856" spans="1:13" s="7" customFormat="1" ht="17.25">
      <c r="A856" s="22" t="s">
        <v>236</v>
      </c>
      <c r="B856" s="83"/>
      <c r="C856" s="83"/>
      <c r="D856" s="83"/>
      <c r="E856" s="83"/>
      <c r="F856" s="180"/>
      <c r="G856" s="83"/>
      <c r="H856" s="1"/>
      <c r="I856" s="1"/>
      <c r="J856" s="1"/>
      <c r="K856" s="1"/>
      <c r="L856" s="1"/>
      <c r="M856" s="1"/>
    </row>
    <row r="857" spans="1:13" s="7" customFormat="1" ht="17.25">
      <c r="A857" s="24" t="s">
        <v>645</v>
      </c>
      <c r="B857" s="65">
        <v>0</v>
      </c>
      <c r="C857" s="65">
        <v>0</v>
      </c>
      <c r="D857" s="65">
        <v>150000</v>
      </c>
      <c r="E857" s="65">
        <v>0</v>
      </c>
      <c r="F857" s="59">
        <v>1</v>
      </c>
      <c r="G857" s="65">
        <v>30000</v>
      </c>
      <c r="H857" s="1"/>
      <c r="I857" s="1"/>
      <c r="J857" s="1"/>
      <c r="K857" s="1"/>
      <c r="L857" s="1"/>
      <c r="M857" s="1"/>
    </row>
    <row r="858" spans="1:13" s="7" customFormat="1" ht="17.25">
      <c r="A858" s="22" t="s">
        <v>646</v>
      </c>
      <c r="B858" s="66">
        <v>0</v>
      </c>
      <c r="C858" s="66">
        <v>0</v>
      </c>
      <c r="D858" s="66">
        <v>0</v>
      </c>
      <c r="E858" s="66">
        <v>0</v>
      </c>
      <c r="F858" s="183">
        <v>1</v>
      </c>
      <c r="G858" s="66">
        <v>50000</v>
      </c>
      <c r="H858" s="1"/>
      <c r="I858" s="1"/>
      <c r="J858" s="1"/>
      <c r="K858" s="1"/>
      <c r="L858" s="1"/>
      <c r="M858" s="1"/>
    </row>
    <row r="859" spans="1:13" s="7" customFormat="1" ht="16.5" customHeight="1">
      <c r="A859" s="16" t="s">
        <v>82</v>
      </c>
      <c r="B859" s="56">
        <v>0</v>
      </c>
      <c r="C859" s="56">
        <f>C857+C858</f>
        <v>0</v>
      </c>
      <c r="D859" s="56">
        <f>D857</f>
        <v>150000</v>
      </c>
      <c r="E859" s="56">
        <v>0</v>
      </c>
      <c r="F859" s="59"/>
      <c r="G859" s="56">
        <f>G857+G858</f>
        <v>80000</v>
      </c>
      <c r="H859" s="1"/>
      <c r="I859" s="1"/>
      <c r="J859" s="1"/>
      <c r="K859" s="1"/>
      <c r="L859" s="1"/>
    </row>
    <row r="860" spans="1:13" s="7" customFormat="1" ht="17.25">
      <c r="A860" s="21" t="s">
        <v>152</v>
      </c>
      <c r="B860" s="65"/>
      <c r="C860" s="65"/>
      <c r="D860" s="65"/>
      <c r="E860" s="65"/>
      <c r="F860" s="176"/>
      <c r="G860" s="65"/>
      <c r="H860" s="1"/>
      <c r="I860" s="1"/>
      <c r="J860" s="1"/>
      <c r="K860" s="1"/>
      <c r="L860" s="1"/>
      <c r="M860" s="1"/>
    </row>
    <row r="861" spans="1:13" s="7" customFormat="1" ht="17.25">
      <c r="A861" s="26" t="s">
        <v>158</v>
      </c>
      <c r="B861" s="65"/>
      <c r="C861" s="65"/>
      <c r="D861" s="65"/>
      <c r="E861" s="65"/>
      <c r="F861" s="176"/>
      <c r="G861" s="65"/>
      <c r="H861" s="1"/>
      <c r="I861" s="1"/>
      <c r="J861" s="1"/>
      <c r="K861" s="1"/>
      <c r="L861" s="1"/>
      <c r="M861" s="1"/>
    </row>
    <row r="862" spans="1:13" s="7" customFormat="1" ht="17.25">
      <c r="A862" s="27" t="s">
        <v>365</v>
      </c>
      <c r="B862" s="200">
        <v>0</v>
      </c>
      <c r="C862" s="200">
        <v>0</v>
      </c>
      <c r="D862" s="200">
        <v>50000</v>
      </c>
      <c r="E862" s="200">
        <v>0</v>
      </c>
      <c r="F862" s="203">
        <v>-1</v>
      </c>
      <c r="G862" s="200">
        <v>0</v>
      </c>
      <c r="H862" s="1"/>
      <c r="I862" s="1"/>
      <c r="J862" s="1"/>
      <c r="K862" s="1"/>
      <c r="L862" s="1"/>
      <c r="M862" s="1"/>
    </row>
    <row r="863" spans="1:13" s="7" customFormat="1" ht="17.25">
      <c r="A863" s="24" t="s">
        <v>366</v>
      </c>
      <c r="B863" s="202"/>
      <c r="C863" s="202"/>
      <c r="D863" s="202"/>
      <c r="E863" s="202"/>
      <c r="F863" s="202"/>
      <c r="G863" s="202"/>
      <c r="H863" s="1"/>
      <c r="I863" s="1"/>
      <c r="J863" s="1"/>
      <c r="K863" s="1"/>
      <c r="L863" s="1"/>
      <c r="M863" s="1"/>
    </row>
    <row r="864" spans="1:13" s="7" customFormat="1" ht="17.25">
      <c r="A864" s="15" t="s">
        <v>160</v>
      </c>
      <c r="B864" s="92">
        <v>0</v>
      </c>
      <c r="C864" s="92">
        <v>0</v>
      </c>
      <c r="D864" s="92">
        <v>50000</v>
      </c>
      <c r="E864" s="92">
        <v>0</v>
      </c>
      <c r="F864" s="88"/>
      <c r="G864" s="92">
        <v>0</v>
      </c>
      <c r="H864" s="1"/>
      <c r="I864" s="1"/>
      <c r="J864" s="1"/>
      <c r="K864" s="1"/>
      <c r="L864" s="1"/>
      <c r="M864" s="1"/>
    </row>
    <row r="865" spans="1:13" s="7" customFormat="1" ht="17.25">
      <c r="A865" s="16" t="s">
        <v>88</v>
      </c>
      <c r="B865" s="93">
        <v>0</v>
      </c>
      <c r="C865" s="93">
        <v>0</v>
      </c>
      <c r="D865" s="93">
        <f>D859+D864</f>
        <v>200000</v>
      </c>
      <c r="E865" s="93">
        <v>0</v>
      </c>
      <c r="F865" s="73"/>
      <c r="G865" s="93">
        <f>G859+G864</f>
        <v>80000</v>
      </c>
      <c r="H865" s="1"/>
      <c r="I865" s="1"/>
      <c r="J865" s="1"/>
      <c r="K865" s="1"/>
      <c r="L865" s="1"/>
      <c r="M865" s="1"/>
    </row>
    <row r="866" spans="1:13" s="7" customFormat="1" ht="17.25">
      <c r="A866" s="15" t="s">
        <v>239</v>
      </c>
      <c r="B866" s="92">
        <f>B826+B853+B865</f>
        <v>400000</v>
      </c>
      <c r="C866" s="92">
        <f>C826+C853+C865</f>
        <v>190113.5</v>
      </c>
      <c r="D866" s="92">
        <f>D818+D853+D865</f>
        <v>389496.18</v>
      </c>
      <c r="E866" s="92">
        <f>E826+E853+E865</f>
        <v>184000</v>
      </c>
      <c r="F866" s="88"/>
      <c r="G866" s="92">
        <f>G826+G853+G865</f>
        <v>634400</v>
      </c>
      <c r="H866" s="1"/>
      <c r="I866" s="1"/>
      <c r="J866" s="1"/>
      <c r="K866" s="1"/>
      <c r="L866" s="1"/>
      <c r="M866" s="1"/>
    </row>
    <row r="867" spans="1:13" ht="17.25">
      <c r="A867" s="21" t="s">
        <v>240</v>
      </c>
      <c r="B867" s="65"/>
      <c r="C867" s="65"/>
      <c r="D867" s="65"/>
      <c r="E867" s="65"/>
      <c r="F867" s="185"/>
      <c r="G867" s="65"/>
      <c r="H867" s="1"/>
      <c r="I867" s="1"/>
      <c r="J867" s="1"/>
      <c r="K867" s="1"/>
      <c r="L867" s="1"/>
    </row>
    <row r="868" spans="1:13" s="7" customFormat="1" ht="17.25">
      <c r="A868" s="21" t="s">
        <v>33</v>
      </c>
      <c r="B868" s="56"/>
      <c r="C868" s="56"/>
      <c r="D868" s="56"/>
      <c r="E868" s="56"/>
      <c r="F868" s="185"/>
      <c r="G868" s="56"/>
      <c r="H868" s="1"/>
      <c r="I868" s="1"/>
      <c r="J868" s="1"/>
      <c r="K868" s="1"/>
      <c r="L868" s="1"/>
    </row>
    <row r="869" spans="1:13" s="7" customFormat="1" ht="17.25">
      <c r="A869" s="21" t="s">
        <v>41</v>
      </c>
      <c r="B869" s="19"/>
      <c r="C869" s="19"/>
      <c r="D869" s="19"/>
      <c r="E869" s="19"/>
      <c r="F869" s="53"/>
      <c r="G869" s="19"/>
      <c r="H869" s="1"/>
      <c r="I869" s="1"/>
      <c r="J869" s="1"/>
      <c r="K869" s="1"/>
      <c r="L869" s="1"/>
    </row>
    <row r="870" spans="1:13" s="7" customFormat="1" ht="17.25">
      <c r="A870" s="36" t="s">
        <v>241</v>
      </c>
      <c r="B870" s="19"/>
      <c r="C870" s="19"/>
      <c r="D870" s="19"/>
      <c r="E870" s="19"/>
      <c r="F870" s="53"/>
      <c r="G870" s="19"/>
      <c r="H870" s="1"/>
      <c r="I870" s="1"/>
      <c r="J870" s="1"/>
      <c r="K870" s="1"/>
      <c r="L870" s="1"/>
    </row>
    <row r="871" spans="1:13" ht="17.25">
      <c r="A871" s="24" t="s">
        <v>243</v>
      </c>
      <c r="B871" s="65">
        <v>100000</v>
      </c>
      <c r="C871" s="65">
        <v>0</v>
      </c>
      <c r="D871" s="65">
        <v>0</v>
      </c>
      <c r="E871" s="65">
        <v>92000</v>
      </c>
      <c r="F871" s="59">
        <v>1</v>
      </c>
      <c r="G871" s="65">
        <v>100000</v>
      </c>
      <c r="H871" s="1"/>
      <c r="I871" s="1"/>
      <c r="J871" s="1"/>
      <c r="K871" s="1"/>
      <c r="L871" s="1"/>
    </row>
    <row r="872" spans="1:13" ht="17.25">
      <c r="A872" s="22" t="s">
        <v>246</v>
      </c>
      <c r="B872" s="66">
        <v>60217</v>
      </c>
      <c r="C872" s="66">
        <v>0</v>
      </c>
      <c r="D872" s="66">
        <v>0</v>
      </c>
      <c r="E872" s="66">
        <v>50000</v>
      </c>
      <c r="F872" s="183">
        <v>1</v>
      </c>
      <c r="G872" s="66">
        <v>40000</v>
      </c>
    </row>
    <row r="873" spans="1:13" s="7" customFormat="1" ht="17.25">
      <c r="A873" s="15" t="s">
        <v>50</v>
      </c>
      <c r="B873" s="93">
        <f>B871+B872</f>
        <v>160217</v>
      </c>
      <c r="C873" s="93">
        <f>C871+C872</f>
        <v>0</v>
      </c>
      <c r="D873" s="93">
        <f>D871+D872</f>
        <v>0</v>
      </c>
      <c r="E873" s="93">
        <f>E872+E871</f>
        <v>142000</v>
      </c>
      <c r="F873" s="73"/>
      <c r="G873" s="93">
        <f>G872+G871</f>
        <v>140000</v>
      </c>
      <c r="H873" s="1"/>
      <c r="I873" s="1"/>
      <c r="J873" s="1"/>
      <c r="K873" s="1"/>
      <c r="L873" s="1"/>
    </row>
    <row r="874" spans="1:13" ht="17.25">
      <c r="A874" s="16" t="s">
        <v>68</v>
      </c>
      <c r="B874" s="92">
        <f>B860+B873</f>
        <v>160217</v>
      </c>
      <c r="C874" s="92">
        <f>C860+C873</f>
        <v>0</v>
      </c>
      <c r="D874" s="92">
        <f>D860+D873</f>
        <v>0</v>
      </c>
      <c r="E874" s="92">
        <f>E860+E873</f>
        <v>142000</v>
      </c>
      <c r="F874" s="88"/>
      <c r="G874" s="92">
        <f>G860+G873</f>
        <v>140000</v>
      </c>
    </row>
    <row r="875" spans="1:13" s="7" customFormat="1" ht="17.25">
      <c r="A875" s="38" t="s">
        <v>94</v>
      </c>
      <c r="B875" s="18"/>
      <c r="C875" s="18"/>
      <c r="D875" s="18"/>
      <c r="E875" s="18"/>
      <c r="F875" s="173"/>
      <c r="G875" s="18"/>
      <c r="H875" s="1"/>
      <c r="I875" s="1"/>
      <c r="J875" s="1"/>
      <c r="K875" s="1"/>
      <c r="L875" s="1"/>
      <c r="M875" s="1"/>
    </row>
    <row r="876" spans="1:13" s="7" customFormat="1" ht="17.25">
      <c r="A876" s="21" t="s">
        <v>95</v>
      </c>
      <c r="B876" s="19"/>
      <c r="C876" s="19"/>
      <c r="D876" s="19"/>
      <c r="E876" s="19"/>
      <c r="F876" s="53"/>
      <c r="G876" s="19"/>
      <c r="H876" s="1"/>
      <c r="I876" s="1"/>
      <c r="J876" s="1"/>
      <c r="K876" s="1"/>
      <c r="L876" s="1"/>
      <c r="M876" s="1"/>
    </row>
    <row r="877" spans="1:13" s="7" customFormat="1" ht="17.25">
      <c r="A877" s="22" t="s">
        <v>181</v>
      </c>
      <c r="B877" s="66">
        <v>0</v>
      </c>
      <c r="C877" s="66">
        <v>70000</v>
      </c>
      <c r="D877" s="66">
        <v>0</v>
      </c>
      <c r="E877" s="66">
        <v>0</v>
      </c>
      <c r="F877" s="191">
        <v>0</v>
      </c>
      <c r="G877" s="66">
        <v>0</v>
      </c>
      <c r="H877" s="1"/>
      <c r="I877" s="1"/>
      <c r="J877" s="1"/>
      <c r="K877" s="1"/>
      <c r="L877" s="1"/>
      <c r="M877" s="1"/>
    </row>
    <row r="878" spans="1:13" s="7" customFormat="1" ht="17.25">
      <c r="A878" s="22" t="s">
        <v>97</v>
      </c>
      <c r="B878" s="83">
        <v>120000</v>
      </c>
      <c r="C878" s="83">
        <v>50000</v>
      </c>
      <c r="D878" s="83">
        <v>0</v>
      </c>
      <c r="E878" s="83">
        <v>0</v>
      </c>
      <c r="F878" s="167">
        <v>0</v>
      </c>
      <c r="G878" s="83">
        <v>0</v>
      </c>
      <c r="H878" s="1"/>
      <c r="I878" s="1"/>
      <c r="J878" s="1"/>
      <c r="K878" s="1"/>
      <c r="L878" s="1"/>
      <c r="M878" s="1"/>
    </row>
    <row r="879" spans="1:13" s="7" customFormat="1" ht="17.25">
      <c r="A879" s="15" t="s">
        <v>98</v>
      </c>
      <c r="B879" s="93">
        <v>120000</v>
      </c>
      <c r="C879" s="93">
        <v>120000</v>
      </c>
      <c r="D879" s="93">
        <f>D877+D878</f>
        <v>0</v>
      </c>
      <c r="E879" s="93">
        <v>0</v>
      </c>
      <c r="F879" s="73"/>
      <c r="G879" s="93">
        <v>0</v>
      </c>
      <c r="H879" s="1"/>
      <c r="I879" s="1"/>
      <c r="J879" s="1"/>
      <c r="K879" s="1"/>
      <c r="L879" s="1"/>
      <c r="M879" s="1"/>
    </row>
    <row r="880" spans="1:13" s="7" customFormat="1" ht="17.25">
      <c r="A880" s="16" t="s">
        <v>99</v>
      </c>
      <c r="B880" s="92">
        <v>120000</v>
      </c>
      <c r="C880" s="92">
        <v>120000</v>
      </c>
      <c r="D880" s="92">
        <f>D879</f>
        <v>0</v>
      </c>
      <c r="E880" s="92">
        <v>0</v>
      </c>
      <c r="F880" s="88"/>
      <c r="G880" s="92">
        <v>0</v>
      </c>
      <c r="H880" s="1"/>
      <c r="I880" s="1"/>
      <c r="J880" s="1"/>
      <c r="K880" s="1"/>
      <c r="L880" s="1"/>
      <c r="M880" s="1"/>
    </row>
    <row r="881" spans="1:12" s="7" customFormat="1" ht="17.25">
      <c r="A881" s="15" t="s">
        <v>247</v>
      </c>
      <c r="B881" s="92">
        <f>B874+B880</f>
        <v>280217</v>
      </c>
      <c r="C881" s="92">
        <f>C874+C880</f>
        <v>120000</v>
      </c>
      <c r="D881" s="92">
        <f>D874+D880</f>
        <v>0</v>
      </c>
      <c r="E881" s="92">
        <f>E874+E880</f>
        <v>142000</v>
      </c>
      <c r="F881" s="88"/>
      <c r="G881" s="92">
        <f>G874+G880</f>
        <v>140000</v>
      </c>
      <c r="H881" s="1"/>
      <c r="I881" s="1"/>
      <c r="J881" s="1"/>
      <c r="K881" s="1"/>
      <c r="L881" s="1"/>
    </row>
    <row r="882" spans="1:12" s="7" customFormat="1" ht="17.25">
      <c r="A882" s="21" t="s">
        <v>248</v>
      </c>
      <c r="B882" s="56"/>
      <c r="C882" s="56"/>
      <c r="D882" s="56"/>
      <c r="E882" s="56"/>
      <c r="F882" s="176"/>
      <c r="G882" s="56"/>
      <c r="H882" s="1"/>
      <c r="I882" s="1"/>
      <c r="J882" s="1"/>
      <c r="K882" s="1"/>
      <c r="L882" s="1"/>
    </row>
    <row r="883" spans="1:12" s="7" customFormat="1" ht="17.25">
      <c r="A883" s="21" t="s">
        <v>33</v>
      </c>
      <c r="B883" s="57"/>
      <c r="C883" s="57"/>
      <c r="D883" s="57"/>
      <c r="E883" s="57"/>
      <c r="F883" s="165"/>
      <c r="G883" s="57"/>
      <c r="H883" s="1"/>
      <c r="I883" s="1"/>
      <c r="J883" s="1"/>
      <c r="K883" s="1"/>
      <c r="L883" s="1"/>
    </row>
    <row r="884" spans="1:12" s="7" customFormat="1" ht="17.25">
      <c r="A884" s="30" t="s">
        <v>41</v>
      </c>
      <c r="B884" s="65"/>
      <c r="C884" s="65"/>
      <c r="D884" s="65"/>
      <c r="E884" s="65"/>
      <c r="F884" s="176"/>
      <c r="G884" s="65"/>
      <c r="H884" s="1"/>
      <c r="I884" s="1"/>
      <c r="J884" s="1"/>
      <c r="K884" s="1"/>
      <c r="L884" s="1"/>
    </row>
    <row r="885" spans="1:12" s="7" customFormat="1" ht="17.25">
      <c r="A885" s="27" t="s">
        <v>44</v>
      </c>
      <c r="B885" s="200"/>
      <c r="C885" s="200"/>
      <c r="D885" s="200"/>
      <c r="E885" s="200"/>
      <c r="F885" s="200"/>
      <c r="G885" s="200"/>
      <c r="H885" s="1"/>
      <c r="I885" s="1"/>
      <c r="J885" s="1"/>
      <c r="K885" s="1"/>
      <c r="L885" s="1"/>
    </row>
    <row r="886" spans="1:12" s="7" customFormat="1" ht="17.25">
      <c r="A886" s="24" t="s">
        <v>367</v>
      </c>
      <c r="B886" s="202"/>
      <c r="C886" s="202"/>
      <c r="D886" s="202"/>
      <c r="E886" s="202"/>
      <c r="F886" s="202"/>
      <c r="G886" s="202"/>
      <c r="H886" s="1"/>
      <c r="I886" s="1"/>
      <c r="J886" s="1"/>
      <c r="K886" s="1"/>
      <c r="L886" s="1"/>
    </row>
    <row r="887" spans="1:12" s="7" customFormat="1" ht="17.25">
      <c r="A887" s="24" t="s">
        <v>249</v>
      </c>
      <c r="B887" s="65">
        <v>0</v>
      </c>
      <c r="C887" s="65">
        <f>109857+43320</f>
        <v>153177</v>
      </c>
      <c r="D887" s="65">
        <v>0</v>
      </c>
      <c r="E887" s="65">
        <v>0</v>
      </c>
      <c r="F887" s="59"/>
      <c r="G887" s="65">
        <v>0</v>
      </c>
      <c r="H887" s="1"/>
      <c r="I887" s="1"/>
      <c r="J887" s="1"/>
      <c r="K887" s="1"/>
      <c r="L887" s="1"/>
    </row>
    <row r="888" spans="1:12" s="7" customFormat="1" ht="17.25">
      <c r="A888" s="15" t="s">
        <v>50</v>
      </c>
      <c r="B888" s="93">
        <v>0</v>
      </c>
      <c r="C888" s="93">
        <f>C887</f>
        <v>153177</v>
      </c>
      <c r="D888" s="93">
        <v>0</v>
      </c>
      <c r="E888" s="93">
        <v>0</v>
      </c>
      <c r="F888" s="73"/>
      <c r="G888" s="93">
        <v>0</v>
      </c>
      <c r="H888" s="1"/>
      <c r="I888" s="1"/>
      <c r="J888" s="1"/>
      <c r="K888" s="1"/>
      <c r="L888" s="1"/>
    </row>
    <row r="889" spans="1:12" ht="17.25">
      <c r="A889" s="15" t="s">
        <v>68</v>
      </c>
      <c r="B889" s="92">
        <v>0</v>
      </c>
      <c r="C889" s="92">
        <f>C888</f>
        <v>153177</v>
      </c>
      <c r="D889" s="92">
        <v>0</v>
      </c>
      <c r="E889" s="92">
        <v>0</v>
      </c>
      <c r="F889" s="88"/>
      <c r="G889" s="92">
        <v>0</v>
      </c>
      <c r="H889" s="1"/>
      <c r="I889" s="1"/>
      <c r="J889" s="1"/>
      <c r="K889" s="1"/>
      <c r="L889" s="1"/>
    </row>
    <row r="890" spans="1:12" ht="17.25">
      <c r="A890" s="23" t="s">
        <v>94</v>
      </c>
      <c r="B890" s="65"/>
      <c r="C890" s="65"/>
      <c r="D890" s="65"/>
      <c r="E890" s="65"/>
      <c r="F890" s="176"/>
      <c r="G890" s="65"/>
      <c r="H890" s="1"/>
      <c r="I890" s="1"/>
      <c r="J890" s="1"/>
      <c r="K890" s="1"/>
      <c r="L890" s="1"/>
    </row>
    <row r="891" spans="1:12" ht="17.25">
      <c r="A891" s="23" t="s">
        <v>95</v>
      </c>
      <c r="B891" s="66"/>
      <c r="C891" s="66"/>
      <c r="D891" s="66"/>
      <c r="E891" s="66"/>
      <c r="F891" s="166"/>
      <c r="G891" s="66"/>
      <c r="H891" s="1"/>
      <c r="I891" s="1"/>
      <c r="J891" s="1"/>
      <c r="K891" s="1"/>
      <c r="L891" s="1"/>
    </row>
    <row r="892" spans="1:12" ht="17.25">
      <c r="A892" s="24" t="s">
        <v>96</v>
      </c>
      <c r="B892" s="83">
        <v>0</v>
      </c>
      <c r="C892" s="83">
        <v>40000</v>
      </c>
      <c r="D892" s="83">
        <v>0</v>
      </c>
      <c r="E892" s="83">
        <v>0</v>
      </c>
      <c r="F892" s="167"/>
      <c r="G892" s="83">
        <v>0</v>
      </c>
      <c r="H892" s="1"/>
      <c r="I892" s="1"/>
      <c r="J892" s="1"/>
      <c r="K892" s="1"/>
      <c r="L892" s="1"/>
    </row>
    <row r="893" spans="1:12" ht="17.25">
      <c r="A893" s="15" t="s">
        <v>98</v>
      </c>
      <c r="B893" s="93">
        <v>0</v>
      </c>
      <c r="C893" s="93">
        <f>C892</f>
        <v>40000</v>
      </c>
      <c r="D893" s="93">
        <v>0</v>
      </c>
      <c r="E893" s="93">
        <v>0</v>
      </c>
      <c r="F893" s="73"/>
      <c r="G893" s="93">
        <v>0</v>
      </c>
      <c r="H893" s="1"/>
      <c r="I893" s="1"/>
      <c r="J893" s="1"/>
      <c r="K893" s="1"/>
      <c r="L893" s="1"/>
    </row>
    <row r="894" spans="1:12" ht="17.25">
      <c r="A894" s="15" t="s">
        <v>99</v>
      </c>
      <c r="B894" s="92">
        <v>0</v>
      </c>
      <c r="C894" s="92">
        <f>C893</f>
        <v>40000</v>
      </c>
      <c r="D894" s="92">
        <v>0</v>
      </c>
      <c r="E894" s="92">
        <v>0</v>
      </c>
      <c r="F894" s="88"/>
      <c r="G894" s="92">
        <v>0</v>
      </c>
      <c r="H894" s="1"/>
      <c r="I894" s="1"/>
      <c r="J894" s="1"/>
      <c r="K894" s="1"/>
      <c r="L894" s="1"/>
    </row>
    <row r="895" spans="1:12" ht="17.25">
      <c r="A895" s="15" t="s">
        <v>250</v>
      </c>
      <c r="B895" s="97">
        <v>0</v>
      </c>
      <c r="C895" s="97">
        <f>C889+C894</f>
        <v>193177</v>
      </c>
      <c r="D895" s="97">
        <v>0</v>
      </c>
      <c r="E895" s="97">
        <v>0</v>
      </c>
      <c r="F895" s="98"/>
      <c r="G895" s="97">
        <v>0</v>
      </c>
    </row>
    <row r="896" spans="1:12" ht="17.25">
      <c r="A896" s="16" t="s">
        <v>251</v>
      </c>
      <c r="B896" s="93">
        <f>B866+B881+B895</f>
        <v>680217</v>
      </c>
      <c r="C896" s="93">
        <f>C866+C881+C895</f>
        <v>503290.5</v>
      </c>
      <c r="D896" s="93">
        <f>D866+D881+D895</f>
        <v>389496.18</v>
      </c>
      <c r="E896" s="93">
        <f>E881+E866</f>
        <v>326000</v>
      </c>
      <c r="F896" s="73"/>
      <c r="G896" s="93">
        <f>G866+G881+G895</f>
        <v>774400</v>
      </c>
    </row>
    <row r="897" spans="1:13" ht="17.25">
      <c r="A897" s="21" t="s">
        <v>252</v>
      </c>
      <c r="B897" s="66"/>
      <c r="C897" s="66"/>
      <c r="D897" s="66"/>
      <c r="E897" s="66"/>
      <c r="F897" s="66"/>
      <c r="G897" s="66"/>
    </row>
    <row r="898" spans="1:13" ht="17.25">
      <c r="A898" s="21" t="s">
        <v>561</v>
      </c>
      <c r="B898" s="66"/>
      <c r="C898" s="66"/>
      <c r="D898" s="66"/>
      <c r="E898" s="66"/>
      <c r="F898" s="66"/>
      <c r="G898" s="66"/>
    </row>
    <row r="899" spans="1:13" ht="17.25">
      <c r="A899" s="21" t="s">
        <v>33</v>
      </c>
      <c r="B899" s="66"/>
      <c r="C899" s="66"/>
      <c r="D899" s="66"/>
      <c r="E899" s="66"/>
      <c r="F899" s="66"/>
      <c r="G899" s="66"/>
    </row>
    <row r="900" spans="1:13" ht="17.25">
      <c r="A900" s="30" t="s">
        <v>51</v>
      </c>
      <c r="B900" s="66"/>
      <c r="C900" s="66"/>
      <c r="D900" s="66"/>
      <c r="E900" s="66"/>
      <c r="F900" s="66"/>
      <c r="G900" s="66"/>
    </row>
    <row r="901" spans="1:13" ht="17.25">
      <c r="A901" s="22" t="s">
        <v>55</v>
      </c>
      <c r="B901" s="66">
        <v>0</v>
      </c>
      <c r="C901" s="66">
        <v>0</v>
      </c>
      <c r="D901" s="66">
        <f>20000+72500</f>
        <v>92500</v>
      </c>
      <c r="E901" s="66">
        <v>0</v>
      </c>
      <c r="F901" s="172">
        <v>0</v>
      </c>
      <c r="G901" s="66">
        <v>0</v>
      </c>
    </row>
    <row r="902" spans="1:13" ht="17.25">
      <c r="A902" s="15" t="s">
        <v>60</v>
      </c>
      <c r="B902" s="92">
        <v>0</v>
      </c>
      <c r="C902" s="92">
        <v>0</v>
      </c>
      <c r="D902" s="92">
        <f>D901</f>
        <v>92500</v>
      </c>
      <c r="E902" s="92">
        <v>0</v>
      </c>
      <c r="F902" s="92"/>
      <c r="G902" s="92">
        <v>0</v>
      </c>
    </row>
    <row r="903" spans="1:13" ht="17.25">
      <c r="A903" s="28" t="s">
        <v>68</v>
      </c>
      <c r="B903" s="92">
        <v>0</v>
      </c>
      <c r="C903" s="92">
        <v>0</v>
      </c>
      <c r="D903" s="92">
        <f>D902</f>
        <v>92500</v>
      </c>
      <c r="E903" s="92">
        <v>0</v>
      </c>
      <c r="F903" s="92"/>
      <c r="G903" s="92">
        <v>0</v>
      </c>
    </row>
    <row r="904" spans="1:13" ht="17.25">
      <c r="A904" s="28" t="s">
        <v>562</v>
      </c>
      <c r="B904" s="92">
        <v>0</v>
      </c>
      <c r="C904" s="92">
        <v>0</v>
      </c>
      <c r="D904" s="92">
        <f>D903</f>
        <v>92500</v>
      </c>
      <c r="E904" s="92">
        <v>0</v>
      </c>
      <c r="F904" s="92"/>
      <c r="G904" s="92">
        <v>0</v>
      </c>
    </row>
    <row r="905" spans="1:13" ht="17.25">
      <c r="A905" s="21" t="s">
        <v>253</v>
      </c>
      <c r="B905" s="65"/>
      <c r="C905" s="65"/>
      <c r="D905" s="65"/>
      <c r="E905" s="65"/>
      <c r="F905" s="176"/>
      <c r="G905" s="65"/>
    </row>
    <row r="906" spans="1:13" ht="17.25">
      <c r="A906" s="21" t="s">
        <v>33</v>
      </c>
      <c r="B906" s="66"/>
      <c r="C906" s="66"/>
      <c r="D906" s="66"/>
      <c r="E906" s="66"/>
      <c r="F906" s="166"/>
      <c r="G906" s="66"/>
    </row>
    <row r="907" spans="1:13" s="7" customFormat="1" ht="17.25">
      <c r="A907" s="22" t="s">
        <v>42</v>
      </c>
      <c r="B907" s="65">
        <v>0</v>
      </c>
      <c r="C907" s="65">
        <v>51530</v>
      </c>
      <c r="D907" s="65">
        <v>0</v>
      </c>
      <c r="E907" s="65">
        <v>0</v>
      </c>
      <c r="F907" s="59"/>
      <c r="G907" s="65">
        <v>0</v>
      </c>
      <c r="H907" s="1"/>
      <c r="I907" s="1"/>
      <c r="J907" s="1"/>
      <c r="K907" s="1"/>
      <c r="L907" s="1"/>
      <c r="M907" s="1"/>
    </row>
    <row r="908" spans="1:13" s="7" customFormat="1" ht="17.25">
      <c r="A908" s="15" t="s">
        <v>50</v>
      </c>
      <c r="B908" s="93">
        <v>0</v>
      </c>
      <c r="C908" s="93">
        <v>51530</v>
      </c>
      <c r="D908" s="93">
        <v>0</v>
      </c>
      <c r="E908" s="93">
        <v>0</v>
      </c>
      <c r="F908" s="73"/>
      <c r="G908" s="93">
        <v>0</v>
      </c>
      <c r="H908" s="1"/>
      <c r="I908" s="1"/>
      <c r="J908" s="1"/>
      <c r="K908" s="1"/>
      <c r="L908" s="1"/>
      <c r="M908" s="1"/>
    </row>
    <row r="909" spans="1:13" s="7" customFormat="1" ht="17.25">
      <c r="A909" s="30" t="s">
        <v>51</v>
      </c>
      <c r="B909" s="66"/>
      <c r="C909" s="66"/>
      <c r="D909" s="66"/>
      <c r="E909" s="66"/>
      <c r="F909" s="166"/>
      <c r="G909" s="66"/>
      <c r="H909" s="1"/>
      <c r="I909" s="1"/>
      <c r="J909" s="1"/>
      <c r="K909" s="1"/>
      <c r="L909" s="1"/>
      <c r="M909" s="1"/>
    </row>
    <row r="910" spans="1:13" s="7" customFormat="1" ht="17.25">
      <c r="A910" s="22" t="s">
        <v>55</v>
      </c>
      <c r="B910" s="66">
        <v>90000</v>
      </c>
      <c r="C910" s="66">
        <v>55200</v>
      </c>
      <c r="D910" s="66">
        <f>22180+80000</f>
        <v>102180</v>
      </c>
      <c r="E910" s="66">
        <v>0</v>
      </c>
      <c r="F910" s="172">
        <v>0</v>
      </c>
      <c r="G910" s="66">
        <v>0</v>
      </c>
      <c r="H910" s="1"/>
      <c r="I910" s="1"/>
      <c r="J910" s="1"/>
      <c r="K910" s="1"/>
      <c r="L910" s="1"/>
      <c r="M910" s="1"/>
    </row>
    <row r="911" spans="1:13" s="7" customFormat="1" ht="17.25">
      <c r="A911" s="15" t="s">
        <v>60</v>
      </c>
      <c r="B911" s="93">
        <v>90000</v>
      </c>
      <c r="C911" s="93">
        <v>55200</v>
      </c>
      <c r="D911" s="93">
        <f>D910</f>
        <v>102180</v>
      </c>
      <c r="E911" s="93">
        <v>0</v>
      </c>
      <c r="F911" s="73"/>
      <c r="G911" s="93">
        <v>0</v>
      </c>
      <c r="H911" s="1"/>
      <c r="I911" s="1"/>
      <c r="J911" s="1"/>
      <c r="K911" s="1"/>
      <c r="L911" s="1"/>
      <c r="M911" s="1"/>
    </row>
    <row r="912" spans="1:13" s="7" customFormat="1" ht="17.25">
      <c r="A912" s="28" t="s">
        <v>68</v>
      </c>
      <c r="B912" s="92">
        <v>90000</v>
      </c>
      <c r="C912" s="92">
        <f>C908+C911</f>
        <v>106730</v>
      </c>
      <c r="D912" s="92">
        <f>D911</f>
        <v>102180</v>
      </c>
      <c r="E912" s="92">
        <v>0</v>
      </c>
      <c r="F912" s="88"/>
      <c r="G912" s="92">
        <v>0</v>
      </c>
      <c r="H912" s="1"/>
      <c r="I912" s="1"/>
      <c r="J912" s="1"/>
      <c r="K912" s="1"/>
      <c r="L912" s="1"/>
      <c r="M912" s="1"/>
    </row>
    <row r="913" spans="1:13" s="7" customFormat="1" ht="17.25">
      <c r="A913" s="21" t="s">
        <v>69</v>
      </c>
      <c r="B913" s="65"/>
      <c r="C913" s="65"/>
      <c r="D913" s="65"/>
      <c r="E913" s="65"/>
      <c r="F913" s="176"/>
      <c r="G913" s="65"/>
      <c r="H913" s="1"/>
      <c r="I913" s="1"/>
      <c r="J913" s="1"/>
      <c r="K913" s="1"/>
      <c r="L913" s="1"/>
      <c r="M913" s="1"/>
    </row>
    <row r="914" spans="1:13" s="7" customFormat="1" ht="17.25">
      <c r="A914" s="22" t="s">
        <v>254</v>
      </c>
      <c r="B914" s="66"/>
      <c r="C914" s="66"/>
      <c r="D914" s="66"/>
      <c r="E914" s="66"/>
      <c r="F914" s="166"/>
      <c r="G914" s="66"/>
      <c r="H914" s="1"/>
      <c r="I914" s="1"/>
      <c r="J914" s="1"/>
      <c r="K914" s="1"/>
      <c r="L914" s="1"/>
      <c r="M914" s="1"/>
    </row>
    <row r="915" spans="1:13" s="7" customFormat="1" ht="17.25">
      <c r="A915" s="22" t="s">
        <v>255</v>
      </c>
      <c r="B915" s="83"/>
      <c r="C915" s="83"/>
      <c r="D915" s="83"/>
      <c r="E915" s="83"/>
      <c r="F915" s="164"/>
      <c r="G915" s="83"/>
      <c r="H915" s="1"/>
      <c r="I915" s="1"/>
      <c r="J915" s="1"/>
      <c r="K915" s="1"/>
      <c r="L915" s="1"/>
      <c r="M915" s="1"/>
    </row>
    <row r="916" spans="1:13" s="7" customFormat="1" ht="17.25">
      <c r="A916" s="24" t="s">
        <v>256</v>
      </c>
      <c r="B916" s="65">
        <v>0</v>
      </c>
      <c r="C916" s="65">
        <v>15000</v>
      </c>
      <c r="D916" s="65">
        <v>0</v>
      </c>
      <c r="E916" s="65">
        <v>0</v>
      </c>
      <c r="F916" s="59"/>
      <c r="G916" s="65">
        <v>0</v>
      </c>
      <c r="H916" s="1"/>
      <c r="I916" s="1"/>
      <c r="J916" s="1"/>
      <c r="K916" s="1"/>
      <c r="L916" s="1"/>
      <c r="M916" s="1"/>
    </row>
    <row r="917" spans="1:13" s="7" customFormat="1" ht="17.25">
      <c r="A917" s="22" t="s">
        <v>257</v>
      </c>
      <c r="B917" s="66">
        <v>0</v>
      </c>
      <c r="C917" s="66">
        <v>15000</v>
      </c>
      <c r="D917" s="66">
        <v>0</v>
      </c>
      <c r="E917" s="66">
        <v>0</v>
      </c>
      <c r="F917" s="172"/>
      <c r="G917" s="66">
        <v>0</v>
      </c>
      <c r="H917" s="1"/>
      <c r="I917" s="1"/>
      <c r="J917" s="1"/>
      <c r="K917" s="1"/>
      <c r="L917" s="1"/>
      <c r="M917" s="1"/>
    </row>
    <row r="918" spans="1:13" s="7" customFormat="1" ht="17.25">
      <c r="A918" s="24" t="s">
        <v>370</v>
      </c>
      <c r="B918" s="66">
        <v>0</v>
      </c>
      <c r="C918" s="66">
        <v>1500</v>
      </c>
      <c r="D918" s="66">
        <v>0</v>
      </c>
      <c r="E918" s="66">
        <v>0</v>
      </c>
      <c r="F918" s="172"/>
      <c r="G918" s="66">
        <v>0</v>
      </c>
      <c r="H918" s="1"/>
      <c r="I918" s="1"/>
      <c r="J918" s="1"/>
      <c r="K918" s="1"/>
      <c r="L918" s="1"/>
      <c r="M918" s="1"/>
    </row>
    <row r="919" spans="1:13" s="7" customFormat="1" ht="17.25">
      <c r="A919" s="24" t="s">
        <v>258</v>
      </c>
      <c r="B919" s="66">
        <v>0</v>
      </c>
      <c r="C919" s="66">
        <v>0</v>
      </c>
      <c r="D919" s="66">
        <v>0</v>
      </c>
      <c r="E919" s="66">
        <v>0</v>
      </c>
      <c r="F919" s="172"/>
      <c r="G919" s="66">
        <v>0</v>
      </c>
      <c r="H919" s="1"/>
      <c r="I919" s="1"/>
      <c r="J919" s="1"/>
      <c r="K919" s="1"/>
      <c r="L919" s="1"/>
    </row>
    <row r="920" spans="1:13" s="7" customFormat="1" ht="16.5" customHeight="1">
      <c r="A920" s="16" t="s">
        <v>82</v>
      </c>
      <c r="B920" s="56">
        <v>0</v>
      </c>
      <c r="C920" s="56">
        <f>C916+C917+C918+C919</f>
        <v>31500</v>
      </c>
      <c r="D920" s="56">
        <v>0</v>
      </c>
      <c r="E920" s="56">
        <v>0</v>
      </c>
      <c r="F920" s="176"/>
      <c r="G920" s="56">
        <v>0</v>
      </c>
      <c r="H920" s="1"/>
      <c r="I920" s="1"/>
      <c r="J920" s="1"/>
      <c r="K920" s="1"/>
      <c r="L920" s="1"/>
    </row>
    <row r="921" spans="1:13" s="7" customFormat="1" ht="15.75" customHeight="1">
      <c r="A921" s="21" t="s">
        <v>152</v>
      </c>
      <c r="B921" s="57"/>
      <c r="C921" s="57"/>
      <c r="D921" s="57"/>
      <c r="E921" s="57"/>
      <c r="F921" s="165"/>
      <c r="G921" s="57"/>
      <c r="H921" s="1"/>
      <c r="I921" s="1"/>
      <c r="J921" s="1"/>
      <c r="K921" s="1"/>
      <c r="L921" s="1"/>
    </row>
    <row r="922" spans="1:13" s="7" customFormat="1" ht="17.25">
      <c r="A922" s="27" t="s">
        <v>156</v>
      </c>
      <c r="B922" s="65"/>
      <c r="C922" s="65"/>
      <c r="D922" s="65"/>
      <c r="E922" s="65"/>
      <c r="F922" s="176"/>
      <c r="G922" s="65"/>
      <c r="H922" s="1"/>
      <c r="I922" s="1"/>
      <c r="J922" s="1"/>
      <c r="K922" s="1"/>
      <c r="L922" s="1"/>
    </row>
    <row r="923" spans="1:13" s="7" customFormat="1" ht="17.25">
      <c r="A923" s="27" t="s">
        <v>368</v>
      </c>
      <c r="B923" s="200">
        <v>0</v>
      </c>
      <c r="C923" s="200">
        <v>300000</v>
      </c>
      <c r="D923" s="200">
        <v>0</v>
      </c>
      <c r="E923" s="200">
        <v>0</v>
      </c>
      <c r="F923" s="203"/>
      <c r="G923" s="200">
        <v>0</v>
      </c>
      <c r="H923" s="1"/>
      <c r="I923" s="1"/>
      <c r="J923" s="1"/>
      <c r="K923" s="1"/>
      <c r="L923" s="1"/>
    </row>
    <row r="924" spans="1:13" s="7" customFormat="1" ht="17.25">
      <c r="A924" s="26" t="s">
        <v>369</v>
      </c>
      <c r="B924" s="201"/>
      <c r="C924" s="201"/>
      <c r="D924" s="201"/>
      <c r="E924" s="201"/>
      <c r="F924" s="201"/>
      <c r="G924" s="201"/>
      <c r="H924" s="1"/>
      <c r="I924" s="1"/>
      <c r="J924" s="1"/>
      <c r="K924" s="1"/>
      <c r="L924" s="1"/>
    </row>
    <row r="925" spans="1:13" s="7" customFormat="1" ht="17.25">
      <c r="A925" s="27" t="s">
        <v>371</v>
      </c>
      <c r="B925" s="200">
        <v>0</v>
      </c>
      <c r="C925" s="200">
        <v>147000</v>
      </c>
      <c r="D925" s="200">
        <v>0</v>
      </c>
      <c r="E925" s="200">
        <v>0</v>
      </c>
      <c r="F925" s="203"/>
      <c r="G925" s="200">
        <v>0</v>
      </c>
      <c r="H925" s="1"/>
      <c r="I925" s="1"/>
      <c r="J925" s="1"/>
      <c r="K925" s="1"/>
      <c r="L925" s="1"/>
    </row>
    <row r="926" spans="1:13" s="7" customFormat="1" ht="17.25">
      <c r="A926" s="24" t="s">
        <v>380</v>
      </c>
      <c r="B926" s="202"/>
      <c r="C926" s="202"/>
      <c r="D926" s="202"/>
      <c r="E926" s="202"/>
      <c r="F926" s="202"/>
      <c r="G926" s="202"/>
      <c r="H926" s="1"/>
      <c r="I926" s="1"/>
      <c r="J926" s="1"/>
      <c r="K926" s="1"/>
      <c r="L926" s="1"/>
    </row>
    <row r="927" spans="1:13" s="7" customFormat="1" ht="17.25">
      <c r="A927" s="27" t="s">
        <v>371</v>
      </c>
      <c r="B927" s="200">
        <v>486000</v>
      </c>
      <c r="C927" s="200">
        <v>420000</v>
      </c>
      <c r="D927" s="200">
        <v>0</v>
      </c>
      <c r="E927" s="200">
        <v>0</v>
      </c>
      <c r="F927" s="203"/>
      <c r="G927" s="200">
        <v>0</v>
      </c>
      <c r="H927" s="1"/>
      <c r="I927" s="1"/>
      <c r="J927" s="1"/>
      <c r="K927" s="1"/>
      <c r="L927" s="1"/>
    </row>
    <row r="928" spans="1:13" s="7" customFormat="1" ht="17.25">
      <c r="A928" s="26" t="s">
        <v>381</v>
      </c>
      <c r="B928" s="202"/>
      <c r="C928" s="202"/>
      <c r="D928" s="202"/>
      <c r="E928" s="202"/>
      <c r="F928" s="202"/>
      <c r="G928" s="202"/>
      <c r="H928" s="1"/>
      <c r="I928" s="1"/>
      <c r="J928" s="1"/>
      <c r="K928" s="1"/>
      <c r="L928" s="1"/>
    </row>
    <row r="929" spans="1:12" ht="17.25">
      <c r="A929" s="27" t="s">
        <v>372</v>
      </c>
      <c r="B929" s="200">
        <v>0</v>
      </c>
      <c r="C929" s="200">
        <f>439000-25000</f>
        <v>414000</v>
      </c>
      <c r="D929" s="200">
        <v>0</v>
      </c>
      <c r="E929" s="200">
        <v>0</v>
      </c>
      <c r="F929" s="203"/>
      <c r="G929" s="200">
        <v>0</v>
      </c>
      <c r="H929" s="1"/>
      <c r="I929" s="1"/>
      <c r="J929" s="1"/>
      <c r="K929" s="1"/>
      <c r="L929" s="1"/>
    </row>
    <row r="930" spans="1:12" ht="14.25" customHeight="1">
      <c r="A930" s="26" t="s">
        <v>373</v>
      </c>
      <c r="B930" s="202"/>
      <c r="C930" s="202"/>
      <c r="D930" s="202"/>
      <c r="E930" s="202"/>
      <c r="F930" s="202"/>
      <c r="G930" s="202"/>
      <c r="H930" s="1"/>
      <c r="I930" s="1"/>
      <c r="J930" s="1"/>
      <c r="K930" s="1"/>
      <c r="L930" s="1"/>
    </row>
    <row r="931" spans="1:12" ht="17.25">
      <c r="A931" s="27" t="s">
        <v>374</v>
      </c>
      <c r="B931" s="200">
        <v>0</v>
      </c>
      <c r="C931" s="200">
        <v>130000</v>
      </c>
      <c r="D931" s="200">
        <v>0</v>
      </c>
      <c r="E931" s="200">
        <v>0</v>
      </c>
      <c r="F931" s="203"/>
      <c r="G931" s="200">
        <v>0</v>
      </c>
      <c r="H931" s="1"/>
      <c r="I931" s="1"/>
      <c r="J931" s="1"/>
      <c r="K931" s="1"/>
      <c r="L931" s="1"/>
    </row>
    <row r="932" spans="1:12" ht="17.25">
      <c r="A932" s="26" t="s">
        <v>382</v>
      </c>
      <c r="B932" s="202"/>
      <c r="C932" s="202"/>
      <c r="D932" s="202"/>
      <c r="E932" s="202"/>
      <c r="F932" s="202"/>
      <c r="G932" s="202"/>
      <c r="H932" s="1"/>
      <c r="I932" s="1"/>
      <c r="J932" s="1"/>
      <c r="K932" s="1"/>
      <c r="L932" s="1"/>
    </row>
    <row r="933" spans="1:12" ht="17.25">
      <c r="A933" s="27" t="s">
        <v>375</v>
      </c>
      <c r="B933" s="200">
        <v>0</v>
      </c>
      <c r="C933" s="200">
        <v>98000</v>
      </c>
      <c r="D933" s="200">
        <v>0</v>
      </c>
      <c r="E933" s="200">
        <v>0</v>
      </c>
      <c r="F933" s="203"/>
      <c r="G933" s="200">
        <v>0</v>
      </c>
      <c r="H933" s="1"/>
      <c r="I933" s="1"/>
      <c r="J933" s="1"/>
      <c r="K933" s="1"/>
      <c r="L933" s="1"/>
    </row>
    <row r="934" spans="1:12" ht="17.25">
      <c r="A934" s="24" t="s">
        <v>383</v>
      </c>
      <c r="B934" s="202"/>
      <c r="C934" s="202"/>
      <c r="D934" s="202"/>
      <c r="E934" s="202"/>
      <c r="F934" s="202"/>
      <c r="G934" s="202"/>
      <c r="H934" s="1"/>
      <c r="I934" s="1"/>
      <c r="J934" s="1"/>
      <c r="K934" s="1"/>
      <c r="L934" s="1"/>
    </row>
    <row r="935" spans="1:12" ht="17.25">
      <c r="A935" s="26" t="s">
        <v>259</v>
      </c>
      <c r="B935" s="65">
        <v>0</v>
      </c>
      <c r="C935" s="65">
        <v>457000</v>
      </c>
      <c r="D935" s="65">
        <v>0</v>
      </c>
      <c r="E935" s="65">
        <v>0</v>
      </c>
      <c r="F935" s="59"/>
      <c r="G935" s="65">
        <v>0</v>
      </c>
      <c r="H935" s="1"/>
      <c r="I935" s="1"/>
      <c r="J935" s="1"/>
      <c r="K935" s="1"/>
      <c r="L935" s="1"/>
    </row>
    <row r="936" spans="1:12" ht="17.25">
      <c r="A936" s="27" t="s">
        <v>376</v>
      </c>
      <c r="B936" s="200">
        <v>0</v>
      </c>
      <c r="C936" s="200">
        <v>0</v>
      </c>
      <c r="D936" s="200">
        <v>0</v>
      </c>
      <c r="E936" s="200">
        <v>0</v>
      </c>
      <c r="F936" s="203"/>
      <c r="G936" s="200">
        <v>0</v>
      </c>
      <c r="H936" s="1"/>
      <c r="I936" s="1"/>
      <c r="J936" s="1"/>
      <c r="K936" s="1"/>
      <c r="L936" s="1"/>
    </row>
    <row r="937" spans="1:12" ht="17.25">
      <c r="A937" s="26" t="s">
        <v>377</v>
      </c>
      <c r="B937" s="202"/>
      <c r="C937" s="202"/>
      <c r="D937" s="202"/>
      <c r="E937" s="202"/>
      <c r="F937" s="202"/>
      <c r="G937" s="202"/>
      <c r="H937" s="1"/>
      <c r="I937" s="1"/>
      <c r="J937" s="1"/>
      <c r="K937" s="1"/>
      <c r="L937" s="1"/>
    </row>
    <row r="938" spans="1:12" ht="17.25">
      <c r="A938" s="27" t="s">
        <v>378</v>
      </c>
      <c r="B938" s="200">
        <v>0</v>
      </c>
      <c r="C938" s="200">
        <v>0</v>
      </c>
      <c r="D938" s="200">
        <f>1040000-100000</f>
        <v>940000</v>
      </c>
      <c r="E938" s="200">
        <v>0</v>
      </c>
      <c r="F938" s="203">
        <v>-1</v>
      </c>
      <c r="G938" s="200">
        <v>0</v>
      </c>
    </row>
    <row r="939" spans="1:12" ht="17.25">
      <c r="A939" s="26" t="s">
        <v>379</v>
      </c>
      <c r="B939" s="202"/>
      <c r="C939" s="202"/>
      <c r="D939" s="202"/>
      <c r="E939" s="202"/>
      <c r="F939" s="202"/>
      <c r="G939" s="202"/>
    </row>
    <row r="940" spans="1:12" ht="17.25">
      <c r="A940" s="27" t="s">
        <v>667</v>
      </c>
      <c r="B940" s="200">
        <v>514000</v>
      </c>
      <c r="C940" s="200">
        <v>0</v>
      </c>
      <c r="D940" s="200">
        <v>0</v>
      </c>
      <c r="E940" s="200">
        <v>0</v>
      </c>
      <c r="F940" s="203">
        <v>0</v>
      </c>
      <c r="G940" s="200">
        <v>0</v>
      </c>
    </row>
    <row r="941" spans="1:12" ht="17.25">
      <c r="A941" s="26"/>
      <c r="B941" s="202"/>
      <c r="C941" s="202"/>
      <c r="D941" s="202"/>
      <c r="E941" s="202"/>
      <c r="F941" s="202"/>
      <c r="G941" s="202"/>
    </row>
    <row r="942" spans="1:12" ht="17.25">
      <c r="A942" s="27" t="s">
        <v>376</v>
      </c>
      <c r="B942" s="200">
        <v>1469100</v>
      </c>
      <c r="C942" s="200">
        <v>0</v>
      </c>
      <c r="D942" s="200">
        <v>0</v>
      </c>
      <c r="E942" s="200">
        <v>0</v>
      </c>
      <c r="F942" s="203">
        <v>0</v>
      </c>
      <c r="G942" s="200">
        <v>0</v>
      </c>
    </row>
    <row r="943" spans="1:12" ht="17.25">
      <c r="A943" s="26" t="s">
        <v>668</v>
      </c>
      <c r="B943" s="202"/>
      <c r="C943" s="202"/>
      <c r="D943" s="202"/>
      <c r="E943" s="202"/>
      <c r="F943" s="202"/>
      <c r="G943" s="202"/>
    </row>
    <row r="944" spans="1:12" ht="17.25">
      <c r="A944" s="27" t="s">
        <v>384</v>
      </c>
      <c r="B944" s="200">
        <v>0</v>
      </c>
      <c r="C944" s="200">
        <v>0</v>
      </c>
      <c r="D944" s="200">
        <v>50000</v>
      </c>
      <c r="E944" s="200">
        <v>0</v>
      </c>
      <c r="F944" s="203">
        <v>-1</v>
      </c>
      <c r="G944" s="200">
        <v>0</v>
      </c>
    </row>
    <row r="945" spans="1:13" ht="17.25">
      <c r="A945" s="26" t="s">
        <v>329</v>
      </c>
      <c r="B945" s="202"/>
      <c r="C945" s="202"/>
      <c r="D945" s="202"/>
      <c r="E945" s="202"/>
      <c r="F945" s="202"/>
      <c r="G945" s="202"/>
    </row>
    <row r="946" spans="1:13" ht="17.25">
      <c r="A946" s="27" t="s">
        <v>385</v>
      </c>
      <c r="B946" s="200">
        <v>538000</v>
      </c>
      <c r="C946" s="200">
        <v>0</v>
      </c>
      <c r="D946" s="200">
        <f>300000-70100</f>
        <v>229900</v>
      </c>
      <c r="E946" s="200">
        <v>0</v>
      </c>
      <c r="F946" s="203">
        <v>-1</v>
      </c>
      <c r="G946" s="200">
        <v>0</v>
      </c>
    </row>
    <row r="947" spans="1:13" ht="17.25">
      <c r="A947" s="26" t="s">
        <v>386</v>
      </c>
      <c r="B947" s="202"/>
      <c r="C947" s="202"/>
      <c r="D947" s="202"/>
      <c r="E947" s="202"/>
      <c r="F947" s="202"/>
      <c r="G947" s="202"/>
    </row>
    <row r="948" spans="1:13" ht="17.25">
      <c r="A948" s="22" t="s">
        <v>669</v>
      </c>
      <c r="B948" s="194">
        <f>173000+87000</f>
        <v>260000</v>
      </c>
      <c r="C948" s="194">
        <v>0</v>
      </c>
      <c r="D948" s="194">
        <v>0</v>
      </c>
      <c r="E948" s="194">
        <v>0</v>
      </c>
      <c r="F948" s="196">
        <v>0</v>
      </c>
      <c r="G948" s="194">
        <v>0</v>
      </c>
    </row>
    <row r="949" spans="1:13" ht="17.25">
      <c r="A949" s="27" t="s">
        <v>387</v>
      </c>
      <c r="B949" s="200">
        <v>0</v>
      </c>
      <c r="C949" s="200">
        <v>31000</v>
      </c>
      <c r="D949" s="200">
        <v>0</v>
      </c>
      <c r="E949" s="200">
        <v>0</v>
      </c>
      <c r="F949" s="203"/>
      <c r="G949" s="200">
        <v>0</v>
      </c>
    </row>
    <row r="950" spans="1:13" ht="17.25">
      <c r="A950" s="24" t="s">
        <v>388</v>
      </c>
      <c r="B950" s="202"/>
      <c r="C950" s="202"/>
      <c r="D950" s="202"/>
      <c r="E950" s="202"/>
      <c r="F950" s="202"/>
      <c r="G950" s="202"/>
    </row>
    <row r="951" spans="1:13" ht="17.25">
      <c r="A951" s="27" t="s">
        <v>559</v>
      </c>
      <c r="B951" s="200">
        <v>0</v>
      </c>
      <c r="C951" s="200">
        <v>0</v>
      </c>
      <c r="D951" s="200">
        <f>550000-100000</f>
        <v>450000</v>
      </c>
      <c r="E951" s="200">
        <v>0</v>
      </c>
      <c r="F951" s="203">
        <v>-1</v>
      </c>
      <c r="G951" s="200">
        <v>0</v>
      </c>
    </row>
    <row r="952" spans="1:13" ht="17.25">
      <c r="A952" s="24" t="s">
        <v>560</v>
      </c>
      <c r="B952" s="202"/>
      <c r="C952" s="202"/>
      <c r="D952" s="202"/>
      <c r="E952" s="202"/>
      <c r="F952" s="202"/>
      <c r="G952" s="202"/>
    </row>
    <row r="953" spans="1:13" ht="17.25">
      <c r="A953" s="15" t="s">
        <v>160</v>
      </c>
      <c r="B953" s="92">
        <f>B946+B940+B942+B948+B927</f>
        <v>3267100</v>
      </c>
      <c r="C953" s="92">
        <f>C923+C924+C925+C926+C927+C928+C929+C930+C931+C931+C932+C933+C934+C935+C949+C950</f>
        <v>2127000</v>
      </c>
      <c r="D953" s="92">
        <f>D938+D944+D946+D951</f>
        <v>1669900</v>
      </c>
      <c r="E953" s="92">
        <v>0</v>
      </c>
      <c r="F953" s="88"/>
      <c r="G953" s="92">
        <v>0</v>
      </c>
    </row>
    <row r="954" spans="1:13" ht="17.25">
      <c r="A954" s="32" t="s">
        <v>88</v>
      </c>
      <c r="B954" s="102">
        <f>B953+B920</f>
        <v>3267100</v>
      </c>
      <c r="C954" s="102">
        <f>C920+C953</f>
        <v>2158500</v>
      </c>
      <c r="D954" s="102">
        <f>D953</f>
        <v>1669900</v>
      </c>
      <c r="E954" s="102">
        <v>0</v>
      </c>
      <c r="F954" s="101"/>
      <c r="G954" s="102">
        <v>0</v>
      </c>
    </row>
    <row r="955" spans="1:13" s="7" customFormat="1" ht="17.25">
      <c r="A955" s="16" t="s">
        <v>260</v>
      </c>
      <c r="B955" s="93">
        <f>B954+B912+B903</f>
        <v>3357100</v>
      </c>
      <c r="C955" s="93">
        <f>C912+C954</f>
        <v>2265230</v>
      </c>
      <c r="D955" s="93">
        <f>D954+D912</f>
        <v>1772080</v>
      </c>
      <c r="E955" s="93">
        <f>E954+E912</f>
        <v>0</v>
      </c>
      <c r="F955" s="93"/>
      <c r="G955" s="93">
        <f>G954+G912</f>
        <v>0</v>
      </c>
      <c r="H955" s="1"/>
      <c r="I955" s="1"/>
      <c r="J955" s="1"/>
      <c r="K955" s="1"/>
      <c r="L955" s="1"/>
      <c r="M955" s="1"/>
    </row>
    <row r="956" spans="1:13" s="7" customFormat="1" ht="17.25">
      <c r="A956" s="32" t="s">
        <v>261</v>
      </c>
      <c r="B956" s="97">
        <f>B955</f>
        <v>3357100</v>
      </c>
      <c r="C956" s="97">
        <f>C955</f>
        <v>2265230</v>
      </c>
      <c r="D956" s="97">
        <f>D955+D904</f>
        <v>1864580</v>
      </c>
      <c r="E956" s="97">
        <v>0</v>
      </c>
      <c r="F956" s="97"/>
      <c r="G956" s="97">
        <v>0</v>
      </c>
      <c r="H956" s="1"/>
      <c r="I956" s="1"/>
      <c r="J956" s="1"/>
      <c r="K956" s="1"/>
      <c r="L956" s="1"/>
      <c r="M956" s="1"/>
    </row>
    <row r="957" spans="1:13" s="7" customFormat="1" ht="17.25">
      <c r="A957" s="23" t="s">
        <v>262</v>
      </c>
      <c r="B957" s="65"/>
      <c r="C957" s="65"/>
      <c r="D957" s="65"/>
      <c r="E957" s="65"/>
      <c r="F957" s="65"/>
      <c r="G957" s="65"/>
      <c r="H957" s="1"/>
      <c r="I957" s="1"/>
      <c r="J957" s="1"/>
      <c r="K957" s="1"/>
      <c r="L957" s="1"/>
      <c r="M957" s="1"/>
    </row>
    <row r="958" spans="1:13" s="7" customFormat="1" ht="17.25">
      <c r="A958" s="30" t="s">
        <v>263</v>
      </c>
      <c r="B958" s="66"/>
      <c r="C958" s="66"/>
      <c r="D958" s="66"/>
      <c r="E958" s="66"/>
      <c r="F958" s="66"/>
      <c r="G958" s="66"/>
      <c r="H958" s="1"/>
      <c r="I958" s="1"/>
      <c r="J958" s="1"/>
      <c r="K958" s="1"/>
      <c r="L958" s="1"/>
      <c r="M958" s="1"/>
    </row>
    <row r="959" spans="1:13" s="7" customFormat="1" ht="17.25">
      <c r="A959" s="21" t="s">
        <v>33</v>
      </c>
      <c r="B959" s="66"/>
      <c r="C959" s="66"/>
      <c r="D959" s="66"/>
      <c r="E959" s="66"/>
      <c r="F959" s="66"/>
      <c r="G959" s="66"/>
      <c r="H959" s="1"/>
      <c r="I959" s="1"/>
      <c r="J959" s="1"/>
      <c r="K959" s="1"/>
      <c r="L959" s="1"/>
      <c r="M959" s="1"/>
    </row>
    <row r="960" spans="1:13" s="7" customFormat="1" ht="17.25">
      <c r="A960" s="23" t="s">
        <v>51</v>
      </c>
      <c r="B960" s="65"/>
      <c r="C960" s="65"/>
      <c r="D960" s="65"/>
      <c r="E960" s="65"/>
      <c r="F960" s="65"/>
      <c r="G960" s="65"/>
      <c r="H960" s="1"/>
      <c r="I960" s="1"/>
      <c r="J960" s="1"/>
      <c r="K960" s="1"/>
      <c r="L960" s="1"/>
      <c r="M960" s="1"/>
    </row>
    <row r="961" spans="1:13" s="7" customFormat="1" ht="17.25">
      <c r="A961" s="38" t="s">
        <v>264</v>
      </c>
      <c r="B961" s="66">
        <v>4510</v>
      </c>
      <c r="C961" s="66">
        <v>16376</v>
      </c>
      <c r="D961" s="66">
        <v>9685</v>
      </c>
      <c r="E961" s="66">
        <v>20000</v>
      </c>
      <c r="F961" s="172">
        <v>-0.75</v>
      </c>
      <c r="G961" s="66">
        <v>5000</v>
      </c>
      <c r="H961" s="1"/>
      <c r="I961" s="1"/>
      <c r="J961" s="1"/>
      <c r="K961" s="1"/>
      <c r="L961" s="1"/>
      <c r="M961" s="1"/>
    </row>
    <row r="962" spans="1:13" s="7" customFormat="1" ht="17.25">
      <c r="A962" s="16" t="s">
        <v>60</v>
      </c>
      <c r="B962" s="93">
        <f>B961</f>
        <v>4510</v>
      </c>
      <c r="C962" s="93">
        <v>16376</v>
      </c>
      <c r="D962" s="93">
        <f>D961</f>
        <v>9685</v>
      </c>
      <c r="E962" s="93">
        <v>20000</v>
      </c>
      <c r="F962" s="73"/>
      <c r="G962" s="93">
        <f>G961</f>
        <v>5000</v>
      </c>
      <c r="H962" s="1"/>
      <c r="I962" s="1"/>
      <c r="J962" s="1"/>
      <c r="K962" s="1"/>
      <c r="L962" s="1"/>
      <c r="M962" s="1"/>
    </row>
    <row r="963" spans="1:13" s="7" customFormat="1" ht="17.25">
      <c r="A963" s="16" t="s">
        <v>68</v>
      </c>
      <c r="B963" s="92">
        <f>B962</f>
        <v>4510</v>
      </c>
      <c r="C963" s="92">
        <v>16376</v>
      </c>
      <c r="D963" s="92">
        <f>D962</f>
        <v>9685</v>
      </c>
      <c r="E963" s="92">
        <v>20000</v>
      </c>
      <c r="F963" s="88"/>
      <c r="G963" s="92">
        <f>G962</f>
        <v>5000</v>
      </c>
      <c r="H963" s="1"/>
      <c r="I963" s="1"/>
      <c r="J963" s="1"/>
      <c r="K963" s="1"/>
      <c r="L963" s="1"/>
      <c r="M963" s="1"/>
    </row>
    <row r="964" spans="1:13" s="7" customFormat="1" ht="17.25">
      <c r="A964" s="16" t="s">
        <v>265</v>
      </c>
      <c r="B964" s="93">
        <f>B963</f>
        <v>4510</v>
      </c>
      <c r="C964" s="93">
        <v>16376</v>
      </c>
      <c r="D964" s="93">
        <f>D963</f>
        <v>9685</v>
      </c>
      <c r="E964" s="93">
        <v>20000</v>
      </c>
      <c r="F964" s="73"/>
      <c r="G964" s="93">
        <f>G963</f>
        <v>5000</v>
      </c>
      <c r="H964" s="1"/>
      <c r="I964" s="1"/>
      <c r="J964" s="1"/>
      <c r="K964" s="1"/>
      <c r="L964" s="1"/>
      <c r="M964" s="1"/>
    </row>
    <row r="965" spans="1:13" s="7" customFormat="1" ht="17.25">
      <c r="A965" s="23" t="s">
        <v>563</v>
      </c>
      <c r="B965" s="92"/>
      <c r="C965" s="92"/>
      <c r="D965" s="92"/>
      <c r="E965" s="92"/>
      <c r="F965" s="88"/>
      <c r="G965" s="92"/>
      <c r="H965" s="1"/>
      <c r="I965" s="1"/>
      <c r="J965" s="1"/>
      <c r="K965" s="1"/>
      <c r="L965" s="1"/>
      <c r="M965" s="1"/>
    </row>
    <row r="966" spans="1:13" s="7" customFormat="1" ht="17.25">
      <c r="A966" s="21" t="s">
        <v>33</v>
      </c>
      <c r="B966" s="92"/>
      <c r="C966" s="92"/>
      <c r="D966" s="92"/>
      <c r="E966" s="92"/>
      <c r="F966" s="88"/>
      <c r="G966" s="92"/>
      <c r="H966" s="1"/>
      <c r="I966" s="1"/>
      <c r="J966" s="1"/>
      <c r="K966" s="1"/>
      <c r="L966" s="1"/>
      <c r="M966" s="1"/>
    </row>
    <row r="967" spans="1:13" s="7" customFormat="1" ht="17.25">
      <c r="A967" s="23" t="s">
        <v>41</v>
      </c>
      <c r="B967" s="92"/>
      <c r="C967" s="92"/>
      <c r="D967" s="92"/>
      <c r="E967" s="92"/>
      <c r="F967" s="88"/>
      <c r="G967" s="92"/>
      <c r="H967" s="1"/>
      <c r="I967" s="1"/>
      <c r="J967" s="1"/>
      <c r="K967" s="1"/>
      <c r="L967" s="1"/>
      <c r="M967" s="1"/>
    </row>
    <row r="968" spans="1:13" s="7" customFormat="1" ht="17.25">
      <c r="A968" s="22" t="s">
        <v>42</v>
      </c>
      <c r="B968" s="66">
        <v>0</v>
      </c>
      <c r="C968" s="66">
        <v>0</v>
      </c>
      <c r="D968" s="66">
        <v>0</v>
      </c>
      <c r="E968" s="66">
        <v>87000</v>
      </c>
      <c r="F968" s="172">
        <v>1</v>
      </c>
      <c r="G968" s="66">
        <v>0</v>
      </c>
      <c r="H968" s="1"/>
      <c r="I968" s="1"/>
      <c r="J968" s="1"/>
      <c r="K968" s="1"/>
      <c r="L968" s="1"/>
      <c r="M968" s="1"/>
    </row>
    <row r="969" spans="1:13" s="7" customFormat="1" ht="17.25">
      <c r="A969" s="15" t="s">
        <v>50</v>
      </c>
      <c r="B969" s="92">
        <v>0</v>
      </c>
      <c r="C969" s="92">
        <v>0</v>
      </c>
      <c r="D969" s="92">
        <v>0</v>
      </c>
      <c r="E969" s="92">
        <v>87000</v>
      </c>
      <c r="F969" s="88"/>
      <c r="G969" s="92">
        <v>0</v>
      </c>
      <c r="H969" s="1"/>
      <c r="I969" s="1"/>
      <c r="J969" s="1"/>
      <c r="K969" s="1"/>
      <c r="L969" s="1"/>
      <c r="M969" s="1"/>
    </row>
    <row r="970" spans="1:13" s="7" customFormat="1" ht="17.25">
      <c r="A970" s="16" t="s">
        <v>68</v>
      </c>
      <c r="B970" s="92">
        <v>0</v>
      </c>
      <c r="C970" s="92">
        <v>0</v>
      </c>
      <c r="D970" s="92">
        <v>0</v>
      </c>
      <c r="E970" s="92">
        <v>87000</v>
      </c>
      <c r="F970" s="88"/>
      <c r="G970" s="92">
        <v>0</v>
      </c>
      <c r="H970" s="1"/>
      <c r="I970" s="1"/>
      <c r="J970" s="1"/>
      <c r="K970" s="1"/>
      <c r="L970" s="1"/>
      <c r="M970" s="1"/>
    </row>
    <row r="971" spans="1:13" s="7" customFormat="1" ht="17.25">
      <c r="A971" s="16" t="s">
        <v>564</v>
      </c>
      <c r="B971" s="92">
        <v>0</v>
      </c>
      <c r="C971" s="92">
        <v>0</v>
      </c>
      <c r="D971" s="92">
        <v>0</v>
      </c>
      <c r="E971" s="92">
        <v>87000</v>
      </c>
      <c r="F971" s="88"/>
      <c r="G971" s="92">
        <v>0</v>
      </c>
      <c r="H971" s="1"/>
      <c r="I971" s="1"/>
      <c r="J971" s="1"/>
      <c r="K971" s="1"/>
      <c r="L971" s="1"/>
      <c r="M971" s="1"/>
    </row>
    <row r="972" spans="1:13" s="7" customFormat="1" ht="17.25">
      <c r="A972" s="16" t="s">
        <v>266</v>
      </c>
      <c r="B972" s="92">
        <f>B964</f>
        <v>4510</v>
      </c>
      <c r="C972" s="92">
        <f>C964+C971</f>
        <v>16376</v>
      </c>
      <c r="D972" s="92">
        <f>D964+D971</f>
        <v>9685</v>
      </c>
      <c r="E972" s="92">
        <f>E964+E971</f>
        <v>107000</v>
      </c>
      <c r="F972" s="88"/>
      <c r="G972" s="92">
        <f>G964+G971</f>
        <v>5000</v>
      </c>
      <c r="H972" s="1"/>
      <c r="I972" s="1"/>
      <c r="J972" s="1"/>
      <c r="K972" s="1"/>
      <c r="L972" s="1"/>
      <c r="M972" s="1"/>
    </row>
    <row r="973" spans="1:13" s="7" customFormat="1" ht="17.25">
      <c r="A973" s="21" t="s">
        <v>267</v>
      </c>
      <c r="B973" s="66"/>
      <c r="C973" s="66"/>
      <c r="D973" s="66"/>
      <c r="E973" s="66"/>
      <c r="F973" s="166"/>
      <c r="G973" s="66"/>
      <c r="H973" s="1"/>
      <c r="I973" s="1"/>
      <c r="J973" s="1"/>
      <c r="K973" s="1"/>
      <c r="L973" s="1"/>
      <c r="M973" s="1"/>
    </row>
    <row r="974" spans="1:13" s="7" customFormat="1" ht="17.25">
      <c r="A974" s="23" t="s">
        <v>268</v>
      </c>
      <c r="B974" s="66"/>
      <c r="C974" s="66"/>
      <c r="D974" s="66"/>
      <c r="E974" s="66"/>
      <c r="F974" s="166"/>
      <c r="G974" s="66"/>
      <c r="H974" s="1"/>
      <c r="I974" s="1"/>
      <c r="J974" s="1"/>
      <c r="K974" s="1"/>
      <c r="L974" s="1"/>
    </row>
    <row r="975" spans="1:13" ht="17.25">
      <c r="A975" s="21" t="s">
        <v>105</v>
      </c>
      <c r="B975" s="66"/>
      <c r="C975" s="66"/>
      <c r="D975" s="66"/>
      <c r="E975" s="66"/>
      <c r="F975" s="166"/>
      <c r="G975" s="66"/>
      <c r="H975" s="1"/>
      <c r="I975" s="1"/>
      <c r="J975" s="1"/>
      <c r="K975" s="1"/>
      <c r="L975" s="1"/>
    </row>
    <row r="976" spans="1:13" ht="17.25">
      <c r="A976" s="21" t="s">
        <v>24</v>
      </c>
      <c r="B976" s="83"/>
      <c r="C976" s="83"/>
      <c r="D976" s="83"/>
      <c r="E976" s="83"/>
      <c r="F976" s="164"/>
      <c r="G976" s="83"/>
      <c r="H976" s="1"/>
      <c r="I976" s="1"/>
      <c r="J976" s="1"/>
      <c r="K976" s="1"/>
      <c r="L976" s="1"/>
    </row>
    <row r="977" spans="1:12" ht="17.25">
      <c r="A977" s="21" t="s">
        <v>210</v>
      </c>
      <c r="B977" s="65">
        <v>0</v>
      </c>
      <c r="C977" s="65">
        <v>0</v>
      </c>
      <c r="D977" s="65">
        <v>0</v>
      </c>
      <c r="E977" s="65">
        <v>108000</v>
      </c>
      <c r="F977" s="127" t="s">
        <v>320</v>
      </c>
      <c r="G977" s="65">
        <v>108000</v>
      </c>
      <c r="H977" s="1"/>
      <c r="I977" s="1"/>
      <c r="J977" s="1"/>
      <c r="K977" s="1"/>
      <c r="L977" s="1"/>
    </row>
    <row r="978" spans="1:12" ht="17.25">
      <c r="A978" s="22" t="s">
        <v>211</v>
      </c>
      <c r="B978" s="66">
        <v>0</v>
      </c>
      <c r="C978" s="66">
        <v>0</v>
      </c>
      <c r="D978" s="66">
        <v>0</v>
      </c>
      <c r="E978" s="66">
        <v>12000</v>
      </c>
      <c r="F978" s="105">
        <v>1</v>
      </c>
      <c r="G978" s="66">
        <v>12000</v>
      </c>
      <c r="H978" s="1"/>
      <c r="I978" s="1"/>
      <c r="J978" s="1"/>
      <c r="K978" s="1"/>
      <c r="L978" s="1"/>
    </row>
    <row r="979" spans="1:12" ht="17.25">
      <c r="A979" s="16" t="s">
        <v>107</v>
      </c>
      <c r="B979" s="97">
        <v>0</v>
      </c>
      <c r="C979" s="97">
        <v>0</v>
      </c>
      <c r="D979" s="97">
        <v>0</v>
      </c>
      <c r="E979" s="97">
        <f>E977+E978</f>
        <v>120000</v>
      </c>
      <c r="F979" s="98"/>
      <c r="G979" s="97">
        <f>G977+G978</f>
        <v>120000</v>
      </c>
    </row>
    <row r="980" spans="1:12" ht="17.25">
      <c r="A980" s="16" t="s">
        <v>108</v>
      </c>
      <c r="B980" s="93">
        <v>0</v>
      </c>
      <c r="C980" s="93">
        <v>0</v>
      </c>
      <c r="D980" s="93">
        <v>0</v>
      </c>
      <c r="E980" s="93">
        <f>E979</f>
        <v>120000</v>
      </c>
      <c r="F980" s="73"/>
      <c r="G980" s="93">
        <f>G979</f>
        <v>120000</v>
      </c>
    </row>
    <row r="981" spans="1:12" s="7" customFormat="1" ht="16.5" customHeight="1">
      <c r="A981" s="21" t="s">
        <v>33</v>
      </c>
      <c r="B981" s="56"/>
      <c r="C981" s="56"/>
      <c r="D981" s="56"/>
      <c r="E981" s="56"/>
      <c r="F981" s="176"/>
      <c r="G981" s="56"/>
      <c r="H981" s="1"/>
      <c r="I981" s="1"/>
      <c r="J981" s="1"/>
      <c r="K981" s="1"/>
      <c r="L981" s="1"/>
    </row>
    <row r="982" spans="1:12" s="7" customFormat="1" ht="15.75" customHeight="1">
      <c r="A982" s="21" t="s">
        <v>34</v>
      </c>
      <c r="B982" s="57"/>
      <c r="C982" s="57"/>
      <c r="D982" s="57"/>
      <c r="E982" s="57"/>
      <c r="F982" s="165"/>
      <c r="G982" s="57"/>
      <c r="H982" s="1"/>
      <c r="I982" s="1"/>
      <c r="J982" s="1"/>
      <c r="K982" s="1"/>
      <c r="L982" s="1"/>
    </row>
    <row r="983" spans="1:12" s="7" customFormat="1" ht="17.25">
      <c r="A983" s="27" t="s">
        <v>565</v>
      </c>
      <c r="B983" s="83">
        <v>0</v>
      </c>
      <c r="C983" s="83">
        <v>0</v>
      </c>
      <c r="D983" s="83">
        <v>0</v>
      </c>
      <c r="E983" s="83">
        <v>4500</v>
      </c>
      <c r="F983" s="167">
        <v>1</v>
      </c>
      <c r="G983" s="83">
        <v>4500</v>
      </c>
      <c r="H983" s="1"/>
      <c r="I983" s="1"/>
      <c r="J983" s="1"/>
      <c r="K983" s="1"/>
      <c r="L983" s="1"/>
    </row>
    <row r="984" spans="1:12" s="7" customFormat="1" ht="17.25">
      <c r="A984" s="22" t="s">
        <v>109</v>
      </c>
      <c r="B984" s="65">
        <v>0</v>
      </c>
      <c r="C984" s="65">
        <v>0</v>
      </c>
      <c r="D984" s="65">
        <v>0</v>
      </c>
      <c r="E984" s="65">
        <v>2000</v>
      </c>
      <c r="F984" s="59">
        <v>-0.8</v>
      </c>
      <c r="G984" s="65">
        <v>1000</v>
      </c>
      <c r="H984" s="1"/>
      <c r="I984" s="1"/>
      <c r="J984" s="1"/>
      <c r="K984" s="1"/>
      <c r="L984" s="1"/>
    </row>
    <row r="985" spans="1:12" s="7" customFormat="1" ht="17.25">
      <c r="A985" s="16" t="s">
        <v>40</v>
      </c>
      <c r="B985" s="93">
        <v>0</v>
      </c>
      <c r="C985" s="93">
        <v>0</v>
      </c>
      <c r="D985" s="93">
        <f>D983+D984</f>
        <v>0</v>
      </c>
      <c r="E985" s="93">
        <f>E983+E984</f>
        <v>6500</v>
      </c>
      <c r="F985" s="73"/>
      <c r="G985" s="93">
        <f>G983+G984</f>
        <v>5500</v>
      </c>
      <c r="H985" s="1"/>
      <c r="I985" s="1"/>
      <c r="J985" s="1"/>
      <c r="K985" s="1"/>
      <c r="L985" s="1"/>
    </row>
    <row r="986" spans="1:12" s="7" customFormat="1" ht="17.25">
      <c r="A986" s="23" t="s">
        <v>41</v>
      </c>
      <c r="B986" s="65"/>
      <c r="C986" s="65"/>
      <c r="D986" s="65"/>
      <c r="E986" s="65"/>
      <c r="F986" s="176"/>
      <c r="G986" s="65"/>
      <c r="H986" s="1"/>
      <c r="I986" s="1"/>
      <c r="J986" s="1"/>
      <c r="K986" s="1"/>
      <c r="L986" s="1"/>
    </row>
    <row r="987" spans="1:12" s="7" customFormat="1" ht="17.25">
      <c r="A987" s="26" t="s">
        <v>42</v>
      </c>
      <c r="B987" s="65">
        <v>478000</v>
      </c>
      <c r="C987" s="65">
        <f>460000-4067.82</f>
        <v>455932.18</v>
      </c>
      <c r="D987" s="65">
        <v>492161.04</v>
      </c>
      <c r="E987" s="65">
        <v>486840</v>
      </c>
      <c r="F987" s="62">
        <v>1.43E-2</v>
      </c>
      <c r="G987" s="65">
        <v>306000</v>
      </c>
      <c r="H987" s="1"/>
      <c r="I987" s="1"/>
      <c r="J987" s="1"/>
      <c r="K987" s="1"/>
      <c r="L987" s="1"/>
    </row>
    <row r="988" spans="1:12" ht="17.25">
      <c r="A988" s="27" t="s">
        <v>44</v>
      </c>
      <c r="B988" s="200"/>
      <c r="C988" s="200"/>
      <c r="D988" s="200"/>
      <c r="E988" s="200"/>
      <c r="F988" s="200"/>
      <c r="G988" s="200"/>
      <c r="H988" s="1"/>
      <c r="I988" s="1"/>
      <c r="J988" s="1"/>
      <c r="K988" s="1"/>
      <c r="L988" s="1"/>
    </row>
    <row r="989" spans="1:12" ht="17.25">
      <c r="A989" s="24" t="s">
        <v>45</v>
      </c>
      <c r="B989" s="202"/>
      <c r="C989" s="202"/>
      <c r="D989" s="202"/>
      <c r="E989" s="202"/>
      <c r="F989" s="202"/>
      <c r="G989" s="202"/>
      <c r="H989" s="1"/>
      <c r="I989" s="1"/>
      <c r="J989" s="1"/>
      <c r="K989" s="1"/>
      <c r="L989" s="1"/>
    </row>
    <row r="990" spans="1:12" ht="14.25" customHeight="1">
      <c r="A990" s="26" t="s">
        <v>389</v>
      </c>
      <c r="B990" s="65">
        <v>0</v>
      </c>
      <c r="C990" s="65">
        <v>20000</v>
      </c>
      <c r="D990" s="65">
        <v>0</v>
      </c>
      <c r="E990" s="65">
        <v>0</v>
      </c>
      <c r="F990" s="151"/>
      <c r="G990" s="65">
        <v>0</v>
      </c>
      <c r="H990" s="1"/>
      <c r="I990" s="1"/>
      <c r="J990" s="1"/>
      <c r="K990" s="1"/>
      <c r="L990" s="1"/>
    </row>
    <row r="991" spans="1:12" ht="14.25" customHeight="1">
      <c r="A991" s="22" t="s">
        <v>49</v>
      </c>
      <c r="B991" s="66">
        <v>0</v>
      </c>
      <c r="C991" s="66">
        <v>0</v>
      </c>
      <c r="D991" s="66">
        <v>60000</v>
      </c>
      <c r="E991" s="66">
        <v>45000</v>
      </c>
      <c r="F991" s="172">
        <v>-0.25</v>
      </c>
      <c r="G991" s="66">
        <v>30000</v>
      </c>
      <c r="H991" s="1"/>
      <c r="I991" s="1"/>
      <c r="J991" s="1"/>
      <c r="K991" s="1"/>
      <c r="L991" s="1"/>
    </row>
    <row r="992" spans="1:12" ht="14.25" customHeight="1">
      <c r="A992" s="24"/>
      <c r="B992" s="166"/>
      <c r="C992" s="166"/>
      <c r="D992" s="166"/>
      <c r="E992" s="166"/>
      <c r="F992" s="166"/>
      <c r="G992" s="166"/>
      <c r="H992" s="1"/>
      <c r="I992" s="1"/>
      <c r="J992" s="1"/>
      <c r="K992" s="1"/>
      <c r="L992" s="1"/>
    </row>
    <row r="993" spans="1:13" ht="17.25">
      <c r="A993" s="15" t="s">
        <v>50</v>
      </c>
      <c r="B993" s="92">
        <v>478000</v>
      </c>
      <c r="C993" s="92">
        <f>C987+C990</f>
        <v>475932.18</v>
      </c>
      <c r="D993" s="92">
        <f>D987+D991</f>
        <v>552161.04</v>
      </c>
      <c r="E993" s="92">
        <f>486840+45000</f>
        <v>531840</v>
      </c>
      <c r="F993" s="88"/>
      <c r="G993" s="92">
        <f>G987+G991</f>
        <v>336000</v>
      </c>
      <c r="H993" s="1"/>
      <c r="I993" s="1"/>
      <c r="J993" s="1"/>
      <c r="K993" s="1"/>
      <c r="L993" s="1"/>
    </row>
    <row r="994" spans="1:13" ht="17.25">
      <c r="A994" s="23" t="s">
        <v>51</v>
      </c>
      <c r="B994" s="83"/>
      <c r="C994" s="83"/>
      <c r="D994" s="83"/>
      <c r="E994" s="83"/>
      <c r="F994" s="164"/>
      <c r="G994" s="83"/>
      <c r="H994" s="1"/>
      <c r="I994" s="1"/>
      <c r="J994" s="1"/>
      <c r="K994" s="1"/>
      <c r="L994" s="1"/>
    </row>
    <row r="995" spans="1:13" ht="17.25">
      <c r="A995" s="24" t="s">
        <v>55</v>
      </c>
      <c r="B995" s="65">
        <v>54687.95</v>
      </c>
      <c r="C995" s="65">
        <v>109413</v>
      </c>
      <c r="D995" s="65">
        <f>107845-43061.75</f>
        <v>64783.25</v>
      </c>
      <c r="E995" s="65">
        <v>110000</v>
      </c>
      <c r="F995" s="62">
        <v>0.36359999999999998</v>
      </c>
      <c r="G995" s="65">
        <v>150000</v>
      </c>
      <c r="H995" s="1"/>
      <c r="I995" s="1"/>
      <c r="J995" s="1"/>
      <c r="K995" s="1"/>
      <c r="L995" s="1"/>
    </row>
    <row r="996" spans="1:13" ht="17.25">
      <c r="A996" s="24" t="s">
        <v>59</v>
      </c>
      <c r="B996" s="66">
        <v>0</v>
      </c>
      <c r="C996" s="66">
        <v>48400</v>
      </c>
      <c r="D996" s="66">
        <f>50000-20000</f>
        <v>30000</v>
      </c>
      <c r="E996" s="66">
        <v>50000</v>
      </c>
      <c r="F996" s="105">
        <v>-0.6</v>
      </c>
      <c r="G996" s="66">
        <v>20000</v>
      </c>
      <c r="H996" s="1"/>
      <c r="I996" s="1"/>
      <c r="J996" s="1"/>
      <c r="K996" s="1"/>
      <c r="L996" s="1"/>
    </row>
    <row r="997" spans="1:13" ht="17.25">
      <c r="A997" s="16" t="s">
        <v>60</v>
      </c>
      <c r="B997" s="97">
        <v>54687.95</v>
      </c>
      <c r="C997" s="97">
        <f>SUM(C995:C996)</f>
        <v>157813</v>
      </c>
      <c r="D997" s="97">
        <f>D995+D996</f>
        <v>94783.25</v>
      </c>
      <c r="E997" s="97">
        <f>E995+E996</f>
        <v>160000</v>
      </c>
      <c r="F997" s="98"/>
      <c r="G997" s="97">
        <f>G995+G996</f>
        <v>170000</v>
      </c>
    </row>
    <row r="998" spans="1:13" ht="17.25">
      <c r="A998" s="23" t="s">
        <v>61</v>
      </c>
      <c r="B998" s="19"/>
      <c r="C998" s="19"/>
      <c r="D998" s="19"/>
      <c r="E998" s="19"/>
      <c r="F998" s="19"/>
      <c r="G998" s="19"/>
    </row>
    <row r="999" spans="1:13" ht="17.25">
      <c r="A999" s="24" t="s">
        <v>62</v>
      </c>
      <c r="B999" s="66">
        <v>735484.11</v>
      </c>
      <c r="C999" s="66">
        <v>625123.56999999995</v>
      </c>
      <c r="D999" s="66">
        <v>736797.12</v>
      </c>
      <c r="E999" s="66">
        <v>727000</v>
      </c>
      <c r="F999" s="140">
        <v>0.23799999999999999</v>
      </c>
      <c r="G999" s="66">
        <v>900000</v>
      </c>
    </row>
    <row r="1000" spans="1:13" ht="17.25">
      <c r="A1000" s="15" t="s">
        <v>67</v>
      </c>
      <c r="B1000" s="93">
        <v>735484.11</v>
      </c>
      <c r="C1000" s="93">
        <f>SUM(C999)</f>
        <v>625123.56999999995</v>
      </c>
      <c r="D1000" s="93">
        <f>D999</f>
        <v>736797.12</v>
      </c>
      <c r="E1000" s="93">
        <f>E999</f>
        <v>727000</v>
      </c>
      <c r="F1000" s="73"/>
      <c r="G1000" s="93">
        <f>G999</f>
        <v>900000</v>
      </c>
    </row>
    <row r="1001" spans="1:13" ht="17.25">
      <c r="A1001" s="16" t="s">
        <v>68</v>
      </c>
      <c r="B1001" s="92">
        <f>B985+B993+B997+B1000</f>
        <v>1268172.06</v>
      </c>
      <c r="C1001" s="92">
        <f>C985+C993+C997+C1000</f>
        <v>1258868.75</v>
      </c>
      <c r="D1001" s="92">
        <f>D985+D993+D997+D1000</f>
        <v>1383741.4100000001</v>
      </c>
      <c r="E1001" s="92">
        <f>E985+E993+E997+E1000</f>
        <v>1425340</v>
      </c>
      <c r="F1001" s="88"/>
      <c r="G1001" s="92">
        <f>G985+G993+G997+G1000</f>
        <v>1411500</v>
      </c>
    </row>
    <row r="1002" spans="1:13" s="7" customFormat="1" ht="17.25">
      <c r="A1002" s="21" t="s">
        <v>69</v>
      </c>
      <c r="B1002" s="65"/>
      <c r="C1002" s="65"/>
      <c r="D1002" s="65"/>
      <c r="E1002" s="65"/>
      <c r="F1002" s="176"/>
      <c r="G1002" s="65"/>
      <c r="H1002" s="1"/>
      <c r="I1002" s="1"/>
      <c r="J1002" s="1"/>
      <c r="K1002" s="1"/>
      <c r="L1002" s="1"/>
      <c r="M1002" s="1"/>
    </row>
    <row r="1003" spans="1:13" s="7" customFormat="1" ht="17.25">
      <c r="A1003" s="21" t="s">
        <v>70</v>
      </c>
      <c r="B1003" s="65"/>
      <c r="C1003" s="65"/>
      <c r="D1003" s="65"/>
      <c r="E1003" s="65"/>
      <c r="F1003" s="176"/>
      <c r="G1003" s="65"/>
      <c r="H1003" s="1"/>
      <c r="I1003" s="1"/>
      <c r="J1003" s="1"/>
      <c r="K1003" s="1"/>
      <c r="L1003" s="1"/>
      <c r="M1003" s="1"/>
    </row>
    <row r="1004" spans="1:13" s="7" customFormat="1" ht="17.25">
      <c r="A1004" s="26" t="s">
        <v>137</v>
      </c>
      <c r="B1004" s="65"/>
      <c r="C1004" s="65"/>
      <c r="D1004" s="65"/>
      <c r="E1004" s="65"/>
      <c r="F1004" s="176"/>
      <c r="G1004" s="65"/>
      <c r="H1004" s="1"/>
      <c r="I1004" s="1"/>
      <c r="J1004" s="1"/>
      <c r="K1004" s="1"/>
      <c r="L1004" s="1"/>
      <c r="M1004" s="1"/>
    </row>
    <row r="1005" spans="1:13" s="7" customFormat="1" ht="17.25">
      <c r="A1005" s="27" t="s">
        <v>391</v>
      </c>
      <c r="B1005" s="200">
        <v>0</v>
      </c>
      <c r="C1005" s="200">
        <v>0</v>
      </c>
      <c r="D1005" s="200">
        <v>0</v>
      </c>
      <c r="E1005" s="200">
        <v>0</v>
      </c>
      <c r="F1005" s="203"/>
      <c r="G1005" s="200">
        <v>0</v>
      </c>
      <c r="H1005" s="1"/>
      <c r="I1005" s="1"/>
      <c r="J1005" s="1"/>
      <c r="K1005" s="1"/>
      <c r="L1005" s="1"/>
      <c r="M1005" s="1"/>
    </row>
    <row r="1006" spans="1:13" s="7" customFormat="1" ht="17.25">
      <c r="A1006" s="26" t="s">
        <v>390</v>
      </c>
      <c r="B1006" s="202"/>
      <c r="C1006" s="202"/>
      <c r="D1006" s="202"/>
      <c r="E1006" s="202"/>
      <c r="F1006" s="202"/>
      <c r="G1006" s="202"/>
      <c r="H1006" s="1"/>
      <c r="I1006" s="1"/>
      <c r="J1006" s="1"/>
      <c r="K1006" s="1"/>
      <c r="L1006" s="1"/>
      <c r="M1006" s="1"/>
    </row>
    <row r="1007" spans="1:13" s="7" customFormat="1" ht="17.25">
      <c r="A1007" s="27" t="s">
        <v>647</v>
      </c>
      <c r="B1007" s="164">
        <v>0</v>
      </c>
      <c r="C1007" s="164">
        <v>0</v>
      </c>
      <c r="D1007" s="164">
        <v>0</v>
      </c>
      <c r="E1007" s="164">
        <v>19975</v>
      </c>
      <c r="F1007" s="167">
        <v>-1</v>
      </c>
      <c r="G1007" s="164">
        <v>0</v>
      </c>
      <c r="H1007" s="1"/>
      <c r="I1007" s="1"/>
      <c r="J1007" s="1"/>
      <c r="K1007" s="1"/>
      <c r="L1007" s="1"/>
      <c r="M1007" s="1"/>
    </row>
    <row r="1008" spans="1:13" s="7" customFormat="1" ht="17.25">
      <c r="A1008" s="51" t="s">
        <v>648</v>
      </c>
      <c r="B1008" s="164">
        <v>45710.400000000001</v>
      </c>
      <c r="C1008" s="164">
        <v>0</v>
      </c>
      <c r="D1008" s="164">
        <v>0</v>
      </c>
      <c r="E1008" s="164">
        <v>17000</v>
      </c>
      <c r="F1008" s="167">
        <v>-1</v>
      </c>
      <c r="G1008" s="164">
        <v>0</v>
      </c>
      <c r="H1008" s="1"/>
      <c r="I1008" s="1"/>
      <c r="J1008" s="1"/>
      <c r="K1008" s="1"/>
      <c r="L1008" s="1"/>
      <c r="M1008" s="1"/>
    </row>
    <row r="1009" spans="1:13" s="7" customFormat="1" ht="17.25">
      <c r="A1009" s="27" t="s">
        <v>649</v>
      </c>
      <c r="B1009" s="180">
        <v>0</v>
      </c>
      <c r="C1009" s="180">
        <v>0</v>
      </c>
      <c r="D1009" s="180">
        <v>0</v>
      </c>
      <c r="E1009" s="180">
        <v>0</v>
      </c>
      <c r="F1009" s="182">
        <v>1</v>
      </c>
      <c r="G1009" s="180">
        <v>34000</v>
      </c>
      <c r="H1009" s="1"/>
      <c r="I1009" s="1"/>
      <c r="J1009" s="1"/>
      <c r="K1009" s="1"/>
      <c r="L1009" s="1"/>
      <c r="M1009" s="1"/>
    </row>
    <row r="1010" spans="1:13" s="7" customFormat="1" ht="17.25">
      <c r="A1010" s="27" t="s">
        <v>647</v>
      </c>
      <c r="B1010" s="180">
        <v>0</v>
      </c>
      <c r="C1010" s="180">
        <v>0</v>
      </c>
      <c r="D1010" s="180">
        <v>0</v>
      </c>
      <c r="E1010" s="180">
        <v>0</v>
      </c>
      <c r="F1010" s="182">
        <v>1</v>
      </c>
      <c r="G1010" s="180">
        <v>60000</v>
      </c>
      <c r="H1010" s="1"/>
      <c r="I1010" s="1"/>
      <c r="J1010" s="1"/>
      <c r="K1010" s="1"/>
      <c r="L1010" s="1"/>
      <c r="M1010" s="1"/>
    </row>
    <row r="1011" spans="1:13" s="7" customFormat="1" ht="17.25">
      <c r="A1011" s="27" t="s">
        <v>648</v>
      </c>
      <c r="B1011" s="180">
        <v>0</v>
      </c>
      <c r="C1011" s="180">
        <v>0</v>
      </c>
      <c r="D1011" s="180">
        <v>0</v>
      </c>
      <c r="E1011" s="180">
        <v>19260</v>
      </c>
      <c r="F1011" s="99">
        <v>2.8940999999999999</v>
      </c>
      <c r="G1011" s="180">
        <v>75000</v>
      </c>
      <c r="H1011" s="1"/>
      <c r="I1011" s="1"/>
      <c r="J1011" s="1"/>
      <c r="K1011" s="1"/>
      <c r="L1011" s="1"/>
      <c r="M1011" s="1"/>
    </row>
    <row r="1012" spans="1:13" s="7" customFormat="1" ht="17.25">
      <c r="A1012" s="27" t="s">
        <v>391</v>
      </c>
      <c r="B1012" s="200">
        <v>0</v>
      </c>
      <c r="C1012" s="200">
        <v>42265</v>
      </c>
      <c r="D1012" s="200">
        <v>16050</v>
      </c>
      <c r="E1012" s="200">
        <v>40000</v>
      </c>
      <c r="F1012" s="203">
        <v>-1</v>
      </c>
      <c r="G1012" s="200">
        <v>0</v>
      </c>
      <c r="H1012" s="1"/>
      <c r="I1012" s="1"/>
      <c r="J1012" s="1"/>
      <c r="K1012" s="1"/>
      <c r="L1012" s="1"/>
      <c r="M1012" s="1"/>
    </row>
    <row r="1013" spans="1:13" s="7" customFormat="1" ht="17.25">
      <c r="A1013" s="24" t="s">
        <v>392</v>
      </c>
      <c r="B1013" s="202"/>
      <c r="C1013" s="202"/>
      <c r="D1013" s="202"/>
      <c r="E1013" s="202"/>
      <c r="F1013" s="202"/>
      <c r="G1013" s="202"/>
      <c r="H1013" s="1"/>
      <c r="I1013" s="1"/>
      <c r="J1013" s="1"/>
      <c r="K1013" s="1"/>
      <c r="L1013" s="1"/>
      <c r="M1013" s="1"/>
    </row>
    <row r="1014" spans="1:13" s="7" customFormat="1" ht="17.25">
      <c r="A1014" s="27" t="s">
        <v>391</v>
      </c>
      <c r="B1014" s="200">
        <v>0</v>
      </c>
      <c r="C1014" s="200">
        <v>0</v>
      </c>
      <c r="D1014" s="200">
        <v>16050</v>
      </c>
      <c r="E1014" s="200">
        <v>0</v>
      </c>
      <c r="F1014" s="203">
        <v>0</v>
      </c>
      <c r="G1014" s="200">
        <v>0</v>
      </c>
      <c r="H1014" s="1"/>
      <c r="I1014" s="1"/>
      <c r="J1014" s="1"/>
      <c r="K1014" s="1"/>
      <c r="L1014" s="1"/>
      <c r="M1014" s="1"/>
    </row>
    <row r="1015" spans="1:13" s="7" customFormat="1" ht="17.25">
      <c r="A1015" s="24" t="s">
        <v>568</v>
      </c>
      <c r="B1015" s="202"/>
      <c r="C1015" s="202"/>
      <c r="D1015" s="202"/>
      <c r="E1015" s="202"/>
      <c r="F1015" s="202"/>
      <c r="G1015" s="202"/>
      <c r="H1015" s="1"/>
      <c r="I1015" s="1"/>
      <c r="J1015" s="1"/>
      <c r="K1015" s="1"/>
      <c r="L1015" s="1"/>
      <c r="M1015" s="1"/>
    </row>
    <row r="1016" spans="1:13" s="7" customFormat="1" ht="17.25">
      <c r="A1016" s="15" t="s">
        <v>82</v>
      </c>
      <c r="B1016" s="93">
        <f>SUM(B1005:B1013)</f>
        <v>45710.400000000001</v>
      </c>
      <c r="C1016" s="93">
        <f>SUM(C1005:C1013)</f>
        <v>42265</v>
      </c>
      <c r="D1016" s="93">
        <f>SUM(D1005:D1015)</f>
        <v>32100</v>
      </c>
      <c r="E1016" s="93">
        <f>SUM(E1005:E1013)</f>
        <v>96235</v>
      </c>
      <c r="F1016" s="73"/>
      <c r="G1016" s="93">
        <f>SUM(G1005:G1013)</f>
        <v>169000</v>
      </c>
      <c r="H1016" s="1"/>
      <c r="I1016" s="1"/>
      <c r="J1016" s="1"/>
      <c r="K1016" s="1"/>
      <c r="L1016" s="1"/>
      <c r="M1016" s="1"/>
    </row>
    <row r="1017" spans="1:13" s="7" customFormat="1" ht="17.25">
      <c r="A1017" s="29" t="s">
        <v>152</v>
      </c>
      <c r="B1017" s="65"/>
      <c r="C1017" s="65"/>
      <c r="D1017" s="65"/>
      <c r="E1017" s="65"/>
      <c r="F1017" s="176"/>
      <c r="G1017" s="65"/>
      <c r="H1017" s="1"/>
      <c r="I1017" s="1"/>
      <c r="J1017" s="1"/>
      <c r="K1017" s="1"/>
      <c r="L1017" s="1"/>
      <c r="M1017" s="1"/>
    </row>
    <row r="1018" spans="1:13" s="7" customFormat="1" ht="17.25">
      <c r="A1018" s="22" t="s">
        <v>569</v>
      </c>
      <c r="B1018" s="200">
        <v>0</v>
      </c>
      <c r="C1018" s="200">
        <v>0</v>
      </c>
      <c r="D1018" s="200">
        <v>1872492</v>
      </c>
      <c r="E1018" s="200">
        <v>100000</v>
      </c>
      <c r="F1018" s="203">
        <v>-1</v>
      </c>
      <c r="G1018" s="200">
        <v>0</v>
      </c>
      <c r="H1018" s="1"/>
      <c r="I1018" s="1"/>
      <c r="J1018" s="1"/>
      <c r="K1018" s="1"/>
      <c r="L1018" s="1"/>
      <c r="M1018" s="1"/>
    </row>
    <row r="1019" spans="1:13" s="7" customFormat="1" ht="17.25">
      <c r="A1019" s="22" t="s">
        <v>572</v>
      </c>
      <c r="B1019" s="201"/>
      <c r="C1019" s="201"/>
      <c r="D1019" s="201"/>
      <c r="E1019" s="201"/>
      <c r="F1019" s="201"/>
      <c r="G1019" s="201"/>
      <c r="H1019" s="1"/>
      <c r="I1019" s="1"/>
      <c r="J1019" s="1"/>
      <c r="K1019" s="1"/>
      <c r="L1019" s="1"/>
    </row>
    <row r="1020" spans="1:13" s="7" customFormat="1" ht="17.25">
      <c r="A1020" s="22" t="s">
        <v>570</v>
      </c>
      <c r="B1020" s="202"/>
      <c r="C1020" s="202"/>
      <c r="D1020" s="202"/>
      <c r="E1020" s="202"/>
      <c r="F1020" s="202"/>
      <c r="G1020" s="202"/>
      <c r="H1020" s="1"/>
      <c r="I1020" s="1"/>
      <c r="J1020" s="1"/>
      <c r="K1020" s="1"/>
      <c r="L1020" s="1"/>
    </row>
    <row r="1021" spans="1:13" s="7" customFormat="1" ht="17.25">
      <c r="A1021" s="22" t="s">
        <v>571</v>
      </c>
      <c r="B1021" s="200">
        <v>0</v>
      </c>
      <c r="C1021" s="200">
        <v>0</v>
      </c>
      <c r="D1021" s="200">
        <v>0</v>
      </c>
      <c r="E1021" s="200">
        <v>100000</v>
      </c>
      <c r="F1021" s="203">
        <v>-1</v>
      </c>
      <c r="G1021" s="200">
        <v>0</v>
      </c>
      <c r="H1021" s="1"/>
      <c r="I1021" s="1"/>
      <c r="J1021" s="1"/>
      <c r="K1021" s="1"/>
      <c r="L1021" s="1"/>
      <c r="M1021" s="1"/>
    </row>
    <row r="1022" spans="1:13" s="7" customFormat="1" ht="17.25">
      <c r="A1022" s="22" t="s">
        <v>573</v>
      </c>
      <c r="B1022" s="201"/>
      <c r="C1022" s="201"/>
      <c r="D1022" s="201"/>
      <c r="E1022" s="201"/>
      <c r="F1022" s="201"/>
      <c r="G1022" s="201"/>
      <c r="H1022" s="1"/>
      <c r="I1022" s="1"/>
      <c r="J1022" s="1"/>
      <c r="K1022" s="1"/>
      <c r="L1022" s="1"/>
    </row>
    <row r="1023" spans="1:13" s="7" customFormat="1" ht="17.25">
      <c r="A1023" s="22" t="s">
        <v>570</v>
      </c>
      <c r="B1023" s="202"/>
      <c r="C1023" s="202"/>
      <c r="D1023" s="202"/>
      <c r="E1023" s="202"/>
      <c r="F1023" s="202"/>
      <c r="G1023" s="202"/>
      <c r="H1023" s="1"/>
      <c r="I1023" s="1"/>
      <c r="J1023" s="1"/>
      <c r="K1023" s="1"/>
      <c r="L1023" s="1"/>
    </row>
    <row r="1024" spans="1:13" s="7" customFormat="1" ht="17.25">
      <c r="A1024" s="27" t="s">
        <v>393</v>
      </c>
      <c r="B1024" s="200">
        <v>0</v>
      </c>
      <c r="C1024" s="200">
        <v>0</v>
      </c>
      <c r="D1024" s="200">
        <v>0</v>
      </c>
      <c r="E1024" s="200">
        <v>0</v>
      </c>
      <c r="F1024" s="203">
        <v>0</v>
      </c>
      <c r="G1024" s="200">
        <v>0</v>
      </c>
      <c r="H1024" s="1"/>
      <c r="I1024" s="1"/>
      <c r="J1024" s="1"/>
      <c r="K1024" s="1"/>
      <c r="L1024" s="1"/>
      <c r="M1024" s="1"/>
    </row>
    <row r="1025" spans="1:12" s="7" customFormat="1" ht="17.25">
      <c r="A1025" s="26" t="s">
        <v>394</v>
      </c>
      <c r="B1025" s="201"/>
      <c r="C1025" s="201"/>
      <c r="D1025" s="201"/>
      <c r="E1025" s="201"/>
      <c r="F1025" s="201"/>
      <c r="G1025" s="201"/>
      <c r="H1025" s="1"/>
      <c r="I1025" s="1"/>
      <c r="J1025" s="1"/>
      <c r="K1025" s="1"/>
      <c r="L1025" s="1"/>
    </row>
    <row r="1026" spans="1:12" s="7" customFormat="1" ht="17.25">
      <c r="A1026" s="26" t="s">
        <v>395</v>
      </c>
      <c r="B1026" s="202"/>
      <c r="C1026" s="202"/>
      <c r="D1026" s="202"/>
      <c r="E1026" s="202"/>
      <c r="F1026" s="202"/>
      <c r="G1026" s="202"/>
      <c r="H1026" s="1"/>
      <c r="I1026" s="1"/>
      <c r="J1026" s="1"/>
      <c r="K1026" s="1"/>
      <c r="L1026" s="1"/>
    </row>
    <row r="1027" spans="1:12" s="7" customFormat="1" ht="16.5" customHeight="1">
      <c r="A1027" s="27" t="s">
        <v>397</v>
      </c>
      <c r="B1027" s="200">
        <v>80000</v>
      </c>
      <c r="C1027" s="200">
        <f>343500-10000</f>
        <v>333500</v>
      </c>
      <c r="D1027" s="200">
        <v>0</v>
      </c>
      <c r="E1027" s="200">
        <v>0</v>
      </c>
      <c r="F1027" s="203">
        <v>0</v>
      </c>
      <c r="G1027" s="200">
        <v>0</v>
      </c>
      <c r="H1027" s="1"/>
      <c r="I1027" s="1"/>
      <c r="J1027" s="1"/>
      <c r="K1027" s="1"/>
      <c r="L1027" s="1"/>
    </row>
    <row r="1028" spans="1:12" s="7" customFormat="1" ht="16.5" customHeight="1">
      <c r="A1028" s="24" t="s">
        <v>396</v>
      </c>
      <c r="B1028" s="202"/>
      <c r="C1028" s="202"/>
      <c r="D1028" s="202"/>
      <c r="E1028" s="202"/>
      <c r="F1028" s="202"/>
      <c r="G1028" s="202"/>
      <c r="H1028" s="1"/>
      <c r="I1028" s="1"/>
      <c r="J1028" s="1"/>
      <c r="K1028" s="1"/>
      <c r="L1028" s="1"/>
    </row>
    <row r="1029" spans="1:12" s="7" customFormat="1" ht="16.5" customHeight="1">
      <c r="A1029" s="27" t="s">
        <v>397</v>
      </c>
      <c r="B1029" s="200">
        <v>99000</v>
      </c>
      <c r="C1029" s="200">
        <v>0</v>
      </c>
      <c r="D1029" s="200">
        <v>0</v>
      </c>
      <c r="E1029" s="200">
        <v>0</v>
      </c>
      <c r="F1029" s="203">
        <v>0</v>
      </c>
      <c r="G1029" s="200">
        <v>0</v>
      </c>
      <c r="H1029" s="1"/>
      <c r="I1029" s="1"/>
      <c r="J1029" s="1"/>
      <c r="K1029" s="1"/>
      <c r="L1029" s="1"/>
    </row>
    <row r="1030" spans="1:12" s="7" customFormat="1" ht="16.5" customHeight="1">
      <c r="A1030" s="24" t="s">
        <v>663</v>
      </c>
      <c r="B1030" s="202"/>
      <c r="C1030" s="202"/>
      <c r="D1030" s="202"/>
      <c r="E1030" s="202"/>
      <c r="F1030" s="202"/>
      <c r="G1030" s="202"/>
      <c r="H1030" s="1"/>
      <c r="I1030" s="1"/>
      <c r="J1030" s="1"/>
      <c r="K1030" s="1"/>
      <c r="L1030" s="1"/>
    </row>
    <row r="1031" spans="1:12" s="7" customFormat="1" ht="16.5" customHeight="1">
      <c r="A1031" s="27" t="s">
        <v>664</v>
      </c>
      <c r="B1031" s="200">
        <v>379000</v>
      </c>
      <c r="C1031" s="200">
        <v>0</v>
      </c>
      <c r="D1031" s="200">
        <v>0</v>
      </c>
      <c r="E1031" s="200">
        <v>0</v>
      </c>
      <c r="F1031" s="203">
        <v>0</v>
      </c>
      <c r="G1031" s="200">
        <v>0</v>
      </c>
      <c r="H1031" s="1"/>
      <c r="I1031" s="1"/>
      <c r="J1031" s="1"/>
      <c r="K1031" s="1"/>
      <c r="L1031" s="1"/>
    </row>
    <row r="1032" spans="1:12" s="7" customFormat="1" ht="16.5" customHeight="1">
      <c r="A1032" s="24"/>
      <c r="B1032" s="202"/>
      <c r="C1032" s="202"/>
      <c r="D1032" s="202"/>
      <c r="E1032" s="202"/>
      <c r="F1032" s="202"/>
      <c r="G1032" s="202"/>
      <c r="H1032" s="1"/>
      <c r="I1032" s="1"/>
      <c r="J1032" s="1"/>
      <c r="K1032" s="1"/>
      <c r="L1032" s="1"/>
    </row>
    <row r="1033" spans="1:12" s="7" customFormat="1" ht="16.5" customHeight="1">
      <c r="A1033" s="27" t="s">
        <v>397</v>
      </c>
      <c r="B1033" s="200">
        <v>118000</v>
      </c>
      <c r="C1033" s="200">
        <v>0</v>
      </c>
      <c r="D1033" s="200">
        <v>0</v>
      </c>
      <c r="E1033" s="200">
        <v>0</v>
      </c>
      <c r="F1033" s="203">
        <v>0</v>
      </c>
      <c r="G1033" s="200">
        <v>0</v>
      </c>
      <c r="H1033" s="1"/>
      <c r="I1033" s="1"/>
      <c r="J1033" s="1"/>
      <c r="K1033" s="1"/>
      <c r="L1033" s="1"/>
    </row>
    <row r="1034" spans="1:12" s="7" customFormat="1" ht="16.5" customHeight="1">
      <c r="A1034" s="24" t="s">
        <v>665</v>
      </c>
      <c r="B1034" s="202"/>
      <c r="C1034" s="202"/>
      <c r="D1034" s="202"/>
      <c r="E1034" s="202"/>
      <c r="F1034" s="202"/>
      <c r="G1034" s="202"/>
      <c r="H1034" s="1"/>
      <c r="I1034" s="1"/>
      <c r="J1034" s="1"/>
      <c r="K1034" s="1"/>
      <c r="L1034" s="1"/>
    </row>
    <row r="1035" spans="1:12" s="7" customFormat="1" ht="16.5" customHeight="1">
      <c r="A1035" s="27" t="s">
        <v>397</v>
      </c>
      <c r="B1035" s="200">
        <v>101000</v>
      </c>
      <c r="C1035" s="200">
        <v>0</v>
      </c>
      <c r="D1035" s="200">
        <v>0</v>
      </c>
      <c r="E1035" s="200">
        <v>0</v>
      </c>
      <c r="F1035" s="203">
        <v>0</v>
      </c>
      <c r="G1035" s="200">
        <v>0</v>
      </c>
      <c r="H1035" s="1"/>
      <c r="I1035" s="1"/>
      <c r="J1035" s="1"/>
      <c r="K1035" s="1"/>
      <c r="L1035" s="1"/>
    </row>
    <row r="1036" spans="1:12" s="7" customFormat="1" ht="16.5" customHeight="1">
      <c r="A1036" s="24" t="s">
        <v>666</v>
      </c>
      <c r="B1036" s="202"/>
      <c r="C1036" s="202"/>
      <c r="D1036" s="202"/>
      <c r="E1036" s="202"/>
      <c r="F1036" s="202"/>
      <c r="G1036" s="202"/>
      <c r="H1036" s="1"/>
      <c r="I1036" s="1"/>
      <c r="J1036" s="1"/>
      <c r="K1036" s="1"/>
      <c r="L1036" s="1"/>
    </row>
    <row r="1037" spans="1:12" s="7" customFormat="1" ht="15.75" customHeight="1">
      <c r="A1037" s="27" t="s">
        <v>398</v>
      </c>
      <c r="B1037" s="200">
        <v>0</v>
      </c>
      <c r="C1037" s="200">
        <f>480000-15000</f>
        <v>465000</v>
      </c>
      <c r="D1037" s="200">
        <v>0</v>
      </c>
      <c r="E1037" s="200">
        <v>0</v>
      </c>
      <c r="F1037" s="203">
        <v>0</v>
      </c>
      <c r="G1037" s="200">
        <v>0</v>
      </c>
      <c r="H1037" s="1"/>
      <c r="I1037" s="1"/>
      <c r="J1037" s="1"/>
      <c r="K1037" s="1"/>
      <c r="L1037" s="1"/>
    </row>
    <row r="1038" spans="1:12" s="7" customFormat="1" ht="17.25">
      <c r="A1038" s="26" t="s">
        <v>399</v>
      </c>
      <c r="B1038" s="201"/>
      <c r="C1038" s="201"/>
      <c r="D1038" s="201"/>
      <c r="E1038" s="201"/>
      <c r="F1038" s="201"/>
      <c r="G1038" s="201"/>
      <c r="H1038" s="1"/>
      <c r="I1038" s="1"/>
      <c r="J1038" s="1"/>
      <c r="K1038" s="1"/>
      <c r="L1038" s="1"/>
    </row>
    <row r="1039" spans="1:12" s="7" customFormat="1" ht="17.25">
      <c r="A1039" s="26" t="s">
        <v>400</v>
      </c>
      <c r="B1039" s="202"/>
      <c r="C1039" s="202"/>
      <c r="D1039" s="202"/>
      <c r="E1039" s="202"/>
      <c r="F1039" s="202"/>
      <c r="G1039" s="202"/>
      <c r="H1039" s="1"/>
      <c r="I1039" s="1"/>
      <c r="J1039" s="1"/>
      <c r="K1039" s="1"/>
      <c r="L1039" s="1"/>
    </row>
    <row r="1040" spans="1:12" s="7" customFormat="1" ht="17.25">
      <c r="A1040" s="27" t="s">
        <v>401</v>
      </c>
      <c r="B1040" s="200">
        <v>0</v>
      </c>
      <c r="C1040" s="200">
        <v>31000</v>
      </c>
      <c r="D1040" s="200">
        <v>0</v>
      </c>
      <c r="E1040" s="200">
        <v>0</v>
      </c>
      <c r="F1040" s="203">
        <v>0</v>
      </c>
      <c r="G1040" s="200">
        <v>0</v>
      </c>
      <c r="H1040" s="1"/>
      <c r="I1040" s="1"/>
      <c r="J1040" s="1"/>
      <c r="K1040" s="1"/>
      <c r="L1040" s="1"/>
    </row>
    <row r="1041" spans="1:12" s="7" customFormat="1" ht="17.25">
      <c r="A1041" s="26" t="s">
        <v>402</v>
      </c>
      <c r="B1041" s="201"/>
      <c r="C1041" s="201"/>
      <c r="D1041" s="201"/>
      <c r="E1041" s="201"/>
      <c r="F1041" s="201"/>
      <c r="G1041" s="201"/>
      <c r="H1041" s="1"/>
      <c r="I1041" s="1"/>
      <c r="J1041" s="1"/>
      <c r="K1041" s="1"/>
      <c r="L1041" s="1"/>
    </row>
    <row r="1042" spans="1:12" s="7" customFormat="1" ht="17.25">
      <c r="A1042" s="26" t="s">
        <v>403</v>
      </c>
      <c r="B1042" s="202"/>
      <c r="C1042" s="202"/>
      <c r="D1042" s="202"/>
      <c r="E1042" s="202"/>
      <c r="F1042" s="202"/>
      <c r="G1042" s="202"/>
      <c r="H1042" s="1"/>
      <c r="I1042" s="1"/>
      <c r="J1042" s="1"/>
      <c r="K1042" s="1"/>
      <c r="L1042" s="1"/>
    </row>
    <row r="1043" spans="1:12" s="7" customFormat="1" ht="17.25">
      <c r="A1043" s="27" t="s">
        <v>401</v>
      </c>
      <c r="B1043" s="200">
        <v>0</v>
      </c>
      <c r="C1043" s="200">
        <f>72000-800</f>
        <v>71200</v>
      </c>
      <c r="D1043" s="200">
        <v>0</v>
      </c>
      <c r="E1043" s="200">
        <v>0</v>
      </c>
      <c r="F1043" s="203">
        <v>0</v>
      </c>
      <c r="G1043" s="200">
        <v>0</v>
      </c>
      <c r="H1043" s="1"/>
      <c r="I1043" s="1"/>
      <c r="J1043" s="1"/>
      <c r="K1043" s="1"/>
      <c r="L1043" s="1"/>
    </row>
    <row r="1044" spans="1:12" s="7" customFormat="1" ht="17.25">
      <c r="A1044" s="26" t="s">
        <v>404</v>
      </c>
      <c r="B1044" s="202"/>
      <c r="C1044" s="202"/>
      <c r="D1044" s="202"/>
      <c r="E1044" s="202"/>
      <c r="F1044" s="202"/>
      <c r="G1044" s="202"/>
      <c r="H1044" s="1"/>
      <c r="I1044" s="1"/>
      <c r="J1044" s="1"/>
      <c r="K1044" s="1"/>
      <c r="L1044" s="1"/>
    </row>
    <row r="1045" spans="1:12" ht="17.25">
      <c r="A1045" s="27" t="s">
        <v>405</v>
      </c>
      <c r="B1045" s="200">
        <v>0</v>
      </c>
      <c r="C1045" s="200">
        <f>350000-8000</f>
        <v>342000</v>
      </c>
      <c r="D1045" s="200">
        <v>0</v>
      </c>
      <c r="E1045" s="200">
        <v>0</v>
      </c>
      <c r="F1045" s="203">
        <v>0</v>
      </c>
      <c r="G1045" s="200">
        <v>0</v>
      </c>
      <c r="H1045" s="1"/>
      <c r="I1045" s="1"/>
      <c r="J1045" s="1"/>
      <c r="K1045" s="1"/>
      <c r="L1045" s="1"/>
    </row>
    <row r="1046" spans="1:12" ht="14.25" customHeight="1">
      <c r="A1046" s="26" t="s">
        <v>406</v>
      </c>
      <c r="B1046" s="201"/>
      <c r="C1046" s="201"/>
      <c r="D1046" s="201"/>
      <c r="E1046" s="201"/>
      <c r="F1046" s="201"/>
      <c r="G1046" s="201"/>
      <c r="H1046" s="1"/>
      <c r="I1046" s="1"/>
      <c r="J1046" s="1"/>
      <c r="K1046" s="1"/>
      <c r="L1046" s="1"/>
    </row>
    <row r="1047" spans="1:12" ht="14.25" customHeight="1">
      <c r="A1047" s="26" t="s">
        <v>407</v>
      </c>
      <c r="B1047" s="202"/>
      <c r="C1047" s="202"/>
      <c r="D1047" s="202"/>
      <c r="E1047" s="202"/>
      <c r="F1047" s="202"/>
      <c r="G1047" s="202"/>
      <c r="H1047" s="1"/>
      <c r="I1047" s="1"/>
      <c r="J1047" s="1"/>
      <c r="K1047" s="1"/>
      <c r="L1047" s="1"/>
    </row>
    <row r="1048" spans="1:12" ht="17.25">
      <c r="A1048" s="27" t="s">
        <v>408</v>
      </c>
      <c r="B1048" s="200">
        <v>0</v>
      </c>
      <c r="C1048" s="200">
        <f>114000-2800</f>
        <v>111200</v>
      </c>
      <c r="D1048" s="200">
        <v>0</v>
      </c>
      <c r="E1048" s="200">
        <v>0</v>
      </c>
      <c r="F1048" s="203">
        <v>0</v>
      </c>
      <c r="G1048" s="200">
        <v>0</v>
      </c>
      <c r="H1048" s="1"/>
      <c r="I1048" s="1"/>
      <c r="J1048" s="1"/>
      <c r="K1048" s="1"/>
      <c r="L1048" s="1"/>
    </row>
    <row r="1049" spans="1:12" ht="17.25">
      <c r="A1049" s="26" t="s">
        <v>409</v>
      </c>
      <c r="B1049" s="201"/>
      <c r="C1049" s="201"/>
      <c r="D1049" s="201"/>
      <c r="E1049" s="201"/>
      <c r="F1049" s="201"/>
      <c r="G1049" s="201"/>
      <c r="H1049" s="1"/>
      <c r="I1049" s="1"/>
      <c r="J1049" s="1"/>
      <c r="K1049" s="1"/>
      <c r="L1049" s="1"/>
    </row>
    <row r="1050" spans="1:12" ht="17.25">
      <c r="A1050" s="26" t="s">
        <v>410</v>
      </c>
      <c r="B1050" s="202"/>
      <c r="C1050" s="202"/>
      <c r="D1050" s="202"/>
      <c r="E1050" s="202"/>
      <c r="F1050" s="202"/>
      <c r="G1050" s="202"/>
      <c r="H1050" s="1"/>
      <c r="I1050" s="1"/>
      <c r="J1050" s="1"/>
      <c r="K1050" s="1"/>
      <c r="L1050" s="1"/>
    </row>
    <row r="1051" spans="1:12" ht="17.25">
      <c r="A1051" s="27" t="s">
        <v>411</v>
      </c>
      <c r="B1051" s="200">
        <v>0</v>
      </c>
      <c r="C1051" s="200">
        <f>69000-400</f>
        <v>68600</v>
      </c>
      <c r="D1051" s="200">
        <v>0</v>
      </c>
      <c r="E1051" s="200">
        <v>0</v>
      </c>
      <c r="F1051" s="203">
        <v>0</v>
      </c>
      <c r="G1051" s="200">
        <v>0</v>
      </c>
      <c r="H1051" s="1"/>
      <c r="I1051" s="1"/>
      <c r="J1051" s="1"/>
      <c r="K1051" s="1"/>
      <c r="L1051" s="1"/>
    </row>
    <row r="1052" spans="1:12" ht="17.25">
      <c r="A1052" s="24" t="s">
        <v>412</v>
      </c>
      <c r="B1052" s="202"/>
      <c r="C1052" s="202"/>
      <c r="D1052" s="202"/>
      <c r="E1052" s="202"/>
      <c r="F1052" s="202"/>
      <c r="G1052" s="202"/>
      <c r="H1052" s="1"/>
      <c r="I1052" s="1"/>
      <c r="J1052" s="1"/>
      <c r="K1052" s="1"/>
      <c r="L1052" s="1"/>
    </row>
    <row r="1053" spans="1:12" ht="17.25">
      <c r="A1053" s="15" t="s">
        <v>160</v>
      </c>
      <c r="B1053" s="92">
        <f>B1031+B1029+B1027+B1033+B1035</f>
        <v>777000</v>
      </c>
      <c r="C1053" s="92">
        <f>SUM(C1018:C1052)</f>
        <v>1422500</v>
      </c>
      <c r="D1053" s="92">
        <f>D1018</f>
        <v>1872492</v>
      </c>
      <c r="E1053" s="92">
        <v>200000</v>
      </c>
      <c r="F1053" s="88"/>
      <c r="G1053" s="92">
        <v>0</v>
      </c>
      <c r="H1053" s="1"/>
      <c r="I1053" s="1"/>
      <c r="J1053" s="1"/>
      <c r="K1053" s="1"/>
      <c r="L1053" s="1"/>
    </row>
    <row r="1054" spans="1:12" ht="17.25">
      <c r="A1054" s="15" t="s">
        <v>88</v>
      </c>
      <c r="B1054" s="97">
        <f>B1016+B1053</f>
        <v>822710.4</v>
      </c>
      <c r="C1054" s="97">
        <f>C1016+C1053</f>
        <v>1464765</v>
      </c>
      <c r="D1054" s="97">
        <f>D1016+D1053</f>
        <v>1904592</v>
      </c>
      <c r="E1054" s="97">
        <f>E1016+E1053</f>
        <v>296235</v>
      </c>
      <c r="F1054" s="98"/>
      <c r="G1054" s="97">
        <f>G1016+G1053</f>
        <v>169000</v>
      </c>
    </row>
    <row r="1055" spans="1:12" ht="17.25">
      <c r="A1055" s="15" t="s">
        <v>269</v>
      </c>
      <c r="B1055" s="93">
        <f>B1001+B1054</f>
        <v>2090882.46</v>
      </c>
      <c r="C1055" s="93">
        <f>C1001+C1054</f>
        <v>2723633.75</v>
      </c>
      <c r="D1055" s="93">
        <f>D1054+D1001</f>
        <v>3288333.41</v>
      </c>
      <c r="E1055" s="93">
        <f>E1054+E1001+E980</f>
        <v>1841575</v>
      </c>
      <c r="F1055" s="73"/>
      <c r="G1055" s="93">
        <f>G1054+G1001+G980</f>
        <v>1700500</v>
      </c>
    </row>
    <row r="1056" spans="1:12" ht="17.25">
      <c r="A1056" s="15" t="s">
        <v>270</v>
      </c>
      <c r="B1056" s="92">
        <f>B1055</f>
        <v>2090882.46</v>
      </c>
      <c r="C1056" s="92">
        <f>C1055</f>
        <v>2723633.75</v>
      </c>
      <c r="D1056" s="92">
        <f>D1055</f>
        <v>3288333.41</v>
      </c>
      <c r="E1056" s="92">
        <f>E1055</f>
        <v>1841575</v>
      </c>
      <c r="F1056" s="88"/>
      <c r="G1056" s="92">
        <f>G1055</f>
        <v>1700500</v>
      </c>
    </row>
    <row r="1057" spans="1:13" ht="17.25">
      <c r="A1057" s="23" t="s">
        <v>271</v>
      </c>
      <c r="B1057" s="65"/>
      <c r="C1057" s="65"/>
      <c r="D1057" s="65"/>
      <c r="E1057" s="65"/>
      <c r="F1057" s="176"/>
      <c r="G1057" s="65"/>
    </row>
    <row r="1058" spans="1:13" ht="17.25">
      <c r="A1058" s="21" t="s">
        <v>272</v>
      </c>
      <c r="B1058" s="66"/>
      <c r="C1058" s="66"/>
      <c r="D1058" s="66"/>
      <c r="E1058" s="66"/>
      <c r="F1058" s="166"/>
      <c r="G1058" s="66"/>
    </row>
    <row r="1059" spans="1:13" s="7" customFormat="1" ht="17.25">
      <c r="A1059" s="21" t="s">
        <v>273</v>
      </c>
      <c r="B1059" s="65"/>
      <c r="C1059" s="65"/>
      <c r="D1059" s="65"/>
      <c r="E1059" s="65"/>
      <c r="F1059" s="176"/>
      <c r="G1059" s="65"/>
      <c r="H1059" s="1"/>
      <c r="I1059" s="1"/>
      <c r="J1059" s="1"/>
      <c r="K1059" s="1"/>
      <c r="L1059" s="1"/>
      <c r="M1059" s="1"/>
    </row>
    <row r="1060" spans="1:13" s="7" customFormat="1" ht="17.25">
      <c r="A1060" s="21" t="s">
        <v>273</v>
      </c>
      <c r="B1060" s="65"/>
      <c r="C1060" s="65"/>
      <c r="D1060" s="65"/>
      <c r="E1060" s="65"/>
      <c r="F1060" s="176"/>
      <c r="G1060" s="65"/>
      <c r="H1060" s="1"/>
      <c r="I1060" s="1"/>
      <c r="J1060" s="1"/>
      <c r="K1060" s="1"/>
      <c r="L1060" s="1"/>
      <c r="M1060" s="1"/>
    </row>
    <row r="1061" spans="1:13" s="7" customFormat="1" ht="17.25">
      <c r="A1061" s="26" t="s">
        <v>274</v>
      </c>
      <c r="B1061" s="83">
        <v>0</v>
      </c>
      <c r="C1061" s="83">
        <v>0</v>
      </c>
      <c r="D1061" s="83">
        <v>350000</v>
      </c>
      <c r="E1061" s="83">
        <v>297725</v>
      </c>
      <c r="F1061" s="174" t="s">
        <v>574</v>
      </c>
      <c r="G1061" s="83">
        <v>306650</v>
      </c>
      <c r="H1061" s="1"/>
      <c r="I1061" s="1"/>
      <c r="J1061" s="1"/>
      <c r="K1061" s="1"/>
      <c r="L1061" s="1"/>
      <c r="M1061" s="1"/>
    </row>
    <row r="1062" spans="1:13" s="7" customFormat="1" ht="17.25">
      <c r="A1062" s="27" t="s">
        <v>275</v>
      </c>
      <c r="B1062" s="65">
        <v>0</v>
      </c>
      <c r="C1062" s="65">
        <v>0</v>
      </c>
      <c r="D1062" s="65">
        <v>105000</v>
      </c>
      <c r="E1062" s="65">
        <v>102390</v>
      </c>
      <c r="F1062" s="119" t="s">
        <v>575</v>
      </c>
      <c r="G1062" s="65">
        <v>93460</v>
      </c>
      <c r="H1062" s="1"/>
      <c r="I1062" s="1"/>
      <c r="J1062" s="1"/>
      <c r="K1062" s="1"/>
      <c r="L1062" s="1"/>
      <c r="M1062" s="1"/>
    </row>
    <row r="1063" spans="1:13" s="7" customFormat="1" ht="17.25">
      <c r="A1063" s="22" t="s">
        <v>276</v>
      </c>
      <c r="B1063" s="66">
        <v>110658</v>
      </c>
      <c r="C1063" s="66">
        <v>125936</v>
      </c>
      <c r="D1063" s="66">
        <f>185000-63734.88</f>
        <v>121265.12</v>
      </c>
      <c r="E1063" s="66">
        <v>286000</v>
      </c>
      <c r="F1063" s="140" t="s">
        <v>576</v>
      </c>
      <c r="G1063" s="66">
        <v>300000</v>
      </c>
      <c r="H1063" s="1"/>
      <c r="I1063" s="1"/>
      <c r="J1063" s="1"/>
      <c r="K1063" s="1"/>
      <c r="L1063" s="1"/>
      <c r="M1063" s="1"/>
    </row>
    <row r="1064" spans="1:13" s="7" customFormat="1" ht="17.25">
      <c r="A1064" s="24" t="s">
        <v>277</v>
      </c>
      <c r="B1064" s="65">
        <v>0</v>
      </c>
      <c r="C1064" s="65">
        <v>0</v>
      </c>
      <c r="D1064" s="65">
        <f>7779000-300000</f>
        <v>7479000</v>
      </c>
      <c r="E1064" s="65">
        <v>7985000</v>
      </c>
      <c r="F1064" s="119" t="s">
        <v>577</v>
      </c>
      <c r="G1064" s="65">
        <v>8400000</v>
      </c>
      <c r="H1064" s="1"/>
      <c r="I1064" s="1"/>
      <c r="J1064" s="1"/>
      <c r="K1064" s="1"/>
      <c r="L1064" s="1"/>
      <c r="M1064" s="1"/>
    </row>
    <row r="1065" spans="1:13" s="7" customFormat="1" ht="17.25">
      <c r="A1065" s="31" t="s">
        <v>278</v>
      </c>
      <c r="B1065" s="66">
        <v>0</v>
      </c>
      <c r="C1065" s="66">
        <v>0</v>
      </c>
      <c r="D1065" s="66">
        <f>2066000-300000</f>
        <v>1766000</v>
      </c>
      <c r="E1065" s="66">
        <v>2255000</v>
      </c>
      <c r="F1065" s="105" t="s">
        <v>578</v>
      </c>
      <c r="G1065" s="66">
        <v>2500000</v>
      </c>
      <c r="H1065" s="1"/>
      <c r="I1065" s="1"/>
      <c r="J1065" s="1"/>
      <c r="K1065" s="1"/>
      <c r="L1065" s="1"/>
      <c r="M1065" s="1"/>
    </row>
    <row r="1066" spans="1:13" s="7" customFormat="1" ht="17.25">
      <c r="A1066" s="22" t="s">
        <v>279</v>
      </c>
      <c r="B1066" s="65">
        <v>111500</v>
      </c>
      <c r="C1066" s="65">
        <v>112500</v>
      </c>
      <c r="D1066" s="65">
        <v>114000</v>
      </c>
      <c r="E1066" s="65">
        <v>110000</v>
      </c>
      <c r="F1066" s="119" t="s">
        <v>579</v>
      </c>
      <c r="G1066" s="65">
        <v>110000</v>
      </c>
      <c r="H1066" s="1"/>
      <c r="I1066" s="1"/>
      <c r="J1066" s="1"/>
      <c r="K1066" s="1"/>
      <c r="L1066" s="1"/>
      <c r="M1066" s="1"/>
    </row>
    <row r="1067" spans="1:13" s="7" customFormat="1" ht="17.25">
      <c r="A1067" s="22" t="s">
        <v>280</v>
      </c>
      <c r="B1067" s="66">
        <v>58000</v>
      </c>
      <c r="C1067" s="66">
        <v>84579</v>
      </c>
      <c r="D1067" s="66">
        <v>300000</v>
      </c>
      <c r="E1067" s="66">
        <v>200000</v>
      </c>
      <c r="F1067" s="140" t="s">
        <v>325</v>
      </c>
      <c r="G1067" s="66">
        <v>200000</v>
      </c>
      <c r="H1067" s="1"/>
      <c r="I1067" s="1"/>
      <c r="J1067" s="1"/>
      <c r="K1067" s="1"/>
      <c r="L1067" s="1"/>
      <c r="M1067" s="1"/>
    </row>
    <row r="1068" spans="1:13" s="7" customFormat="1" ht="17.25">
      <c r="A1068" s="27" t="s">
        <v>281</v>
      </c>
      <c r="B1068" s="83">
        <v>319431.74</v>
      </c>
      <c r="C1068" s="83">
        <v>181970.58</v>
      </c>
      <c r="D1068" s="83">
        <v>199387</v>
      </c>
      <c r="E1068" s="83">
        <v>215000</v>
      </c>
      <c r="F1068" s="184">
        <v>-1</v>
      </c>
      <c r="G1068" s="83">
        <v>0</v>
      </c>
      <c r="H1068" s="1"/>
      <c r="I1068" s="1"/>
      <c r="J1068" s="1"/>
      <c r="K1068" s="1"/>
      <c r="L1068" s="1"/>
      <c r="M1068" s="1"/>
    </row>
    <row r="1069" spans="1:13" s="7" customFormat="1" ht="17.25">
      <c r="A1069" s="27" t="s">
        <v>650</v>
      </c>
      <c r="B1069" s="83">
        <v>0</v>
      </c>
      <c r="C1069" s="83">
        <v>0</v>
      </c>
      <c r="D1069" s="83">
        <v>0</v>
      </c>
      <c r="E1069" s="83">
        <v>0</v>
      </c>
      <c r="F1069" s="184">
        <v>1</v>
      </c>
      <c r="G1069" s="83">
        <v>10500</v>
      </c>
      <c r="H1069" s="1"/>
      <c r="I1069" s="1"/>
      <c r="J1069" s="1"/>
      <c r="K1069" s="1"/>
      <c r="L1069" s="1"/>
      <c r="M1069" s="1"/>
    </row>
    <row r="1070" spans="1:13" s="7" customFormat="1" ht="17.25">
      <c r="A1070" s="27" t="s">
        <v>651</v>
      </c>
      <c r="B1070" s="83">
        <v>0</v>
      </c>
      <c r="C1070" s="83">
        <v>0</v>
      </c>
      <c r="D1070" s="83">
        <v>0</v>
      </c>
      <c r="E1070" s="83">
        <v>0</v>
      </c>
      <c r="F1070" s="184">
        <v>1</v>
      </c>
      <c r="G1070" s="83">
        <v>35000</v>
      </c>
      <c r="H1070" s="1"/>
      <c r="I1070" s="1"/>
      <c r="J1070" s="1"/>
      <c r="K1070" s="1"/>
      <c r="L1070" s="1"/>
      <c r="M1070" s="1"/>
    </row>
    <row r="1071" spans="1:13" s="7" customFormat="1" ht="17.25">
      <c r="A1071" s="27" t="s">
        <v>652</v>
      </c>
      <c r="B1071" s="83">
        <v>0</v>
      </c>
      <c r="C1071" s="83">
        <v>0</v>
      </c>
      <c r="D1071" s="83">
        <v>0</v>
      </c>
      <c r="E1071" s="83">
        <v>0</v>
      </c>
      <c r="F1071" s="184">
        <v>1</v>
      </c>
      <c r="G1071" s="83">
        <v>150000</v>
      </c>
      <c r="H1071" s="1"/>
      <c r="I1071" s="1"/>
      <c r="J1071" s="1"/>
      <c r="K1071" s="1"/>
      <c r="L1071" s="1"/>
      <c r="M1071" s="1"/>
    </row>
    <row r="1072" spans="1:13" s="7" customFormat="1" ht="17.25">
      <c r="A1072" s="27" t="s">
        <v>413</v>
      </c>
      <c r="B1072" s="200">
        <v>386920</v>
      </c>
      <c r="C1072" s="200">
        <v>400600</v>
      </c>
      <c r="D1072" s="200">
        <v>417700</v>
      </c>
      <c r="E1072" s="200">
        <v>430000</v>
      </c>
      <c r="F1072" s="206" t="s">
        <v>581</v>
      </c>
      <c r="G1072" s="200">
        <v>421380</v>
      </c>
      <c r="H1072" s="1"/>
      <c r="I1072" s="1"/>
      <c r="J1072" s="1"/>
      <c r="K1072" s="1"/>
      <c r="L1072" s="1"/>
      <c r="M1072" s="1"/>
    </row>
    <row r="1073" spans="1:13" s="7" customFormat="1" ht="17.25">
      <c r="A1073" s="24" t="s">
        <v>414</v>
      </c>
      <c r="B1073" s="202"/>
      <c r="C1073" s="202"/>
      <c r="D1073" s="202"/>
      <c r="E1073" s="202"/>
      <c r="F1073" s="202"/>
      <c r="G1073" s="202"/>
      <c r="H1073" s="1"/>
      <c r="I1073" s="1"/>
      <c r="J1073" s="1"/>
      <c r="K1073" s="1"/>
      <c r="L1073" s="1"/>
      <c r="M1073" s="1"/>
    </row>
    <row r="1074" spans="1:13" s="7" customFormat="1" ht="17.25">
      <c r="A1074" s="15" t="s">
        <v>282</v>
      </c>
      <c r="B1074" s="65">
        <f>SUM(B1063:B1073)</f>
        <v>986509.74</v>
      </c>
      <c r="C1074" s="65">
        <f>SUM(C1061:C1073)</f>
        <v>905585.58</v>
      </c>
      <c r="D1074" s="65">
        <f>D1061+D1062+D1063+D1064+D1065+D1066+D1067+D1068+D1072+D1073</f>
        <v>10852352.120000001</v>
      </c>
      <c r="E1074" s="65">
        <f>E1061+E1062+E1063+E1064+E1065+E1066+E1067+E1068+E1072+E1073</f>
        <v>11881115</v>
      </c>
      <c r="F1074" s="65"/>
      <c r="G1074" s="65">
        <f>G1061+G1062+G1063+G1064+G1065+G1066+G1067+G1068+G1072+G1073+G1069+G1070+G1071</f>
        <v>12526990</v>
      </c>
      <c r="H1074" s="1"/>
      <c r="I1074" s="1"/>
      <c r="J1074" s="1"/>
      <c r="K1074" s="1"/>
      <c r="L1074" s="1"/>
      <c r="M1074" s="1"/>
    </row>
    <row r="1075" spans="1:13" s="7" customFormat="1" ht="17.25">
      <c r="A1075" s="15" t="s">
        <v>282</v>
      </c>
      <c r="B1075" s="66">
        <v>986509.74</v>
      </c>
      <c r="C1075" s="66">
        <f>C1074</f>
        <v>905585.58</v>
      </c>
      <c r="D1075" s="66">
        <f>D1074</f>
        <v>10852352.120000001</v>
      </c>
      <c r="E1075" s="66">
        <f>E1074</f>
        <v>11881115</v>
      </c>
      <c r="F1075" s="66"/>
      <c r="G1075" s="66">
        <f>G1074</f>
        <v>12526990</v>
      </c>
      <c r="H1075" s="1"/>
      <c r="I1075" s="1"/>
      <c r="J1075" s="1"/>
      <c r="K1075" s="1"/>
      <c r="L1075" s="1"/>
    </row>
    <row r="1076" spans="1:13" s="7" customFormat="1" ht="16.5" customHeight="1">
      <c r="A1076" s="16" t="s">
        <v>282</v>
      </c>
      <c r="B1076" s="56">
        <v>986509.74</v>
      </c>
      <c r="C1076" s="56">
        <f>C1074</f>
        <v>905585.58</v>
      </c>
      <c r="D1076" s="56">
        <f>D1074</f>
        <v>10852352.120000001</v>
      </c>
      <c r="E1076" s="56">
        <f>E1075</f>
        <v>11881115</v>
      </c>
      <c r="F1076" s="56"/>
      <c r="G1076" s="56">
        <f>G1075</f>
        <v>12526990</v>
      </c>
      <c r="H1076" s="1"/>
      <c r="I1076" s="1"/>
      <c r="J1076" s="1"/>
      <c r="K1076" s="1"/>
      <c r="L1076" s="1"/>
    </row>
    <row r="1077" spans="1:13" s="7" customFormat="1" ht="15.75" customHeight="1">
      <c r="A1077" s="16" t="s">
        <v>283</v>
      </c>
      <c r="B1077" s="65">
        <v>986509.74</v>
      </c>
      <c r="C1077" s="65">
        <f>C1074</f>
        <v>905585.58</v>
      </c>
      <c r="D1077" s="65">
        <f>D1074</f>
        <v>10852352.120000001</v>
      </c>
      <c r="E1077" s="65">
        <f>E1074</f>
        <v>11881115</v>
      </c>
      <c r="F1077" s="65"/>
      <c r="G1077" s="65">
        <f>G1074</f>
        <v>12526990</v>
      </c>
      <c r="H1077" s="1"/>
      <c r="I1077" s="1"/>
      <c r="J1077" s="1"/>
      <c r="K1077" s="1"/>
      <c r="L1077" s="1"/>
    </row>
    <row r="1078" spans="1:13" s="7" customFormat="1" ht="17.25">
      <c r="A1078" s="32" t="s">
        <v>284</v>
      </c>
      <c r="B1078" s="66">
        <f>B222+B276+B428+B545+B581+B761+B810+B896+B956+B972+B1056+B1074</f>
        <v>31509489.690000001</v>
      </c>
      <c r="C1078" s="66">
        <f>C222+C276+C428+C545+C581+C761+C810+C896+C956+C972+C1056+C1074</f>
        <v>31766727.859999999</v>
      </c>
      <c r="D1078" s="66">
        <f>D222+D276+D428+D545+D581+D761+D810+D896+D956+D972+D1056+D1074</f>
        <v>43321899.120000005</v>
      </c>
      <c r="E1078" s="66">
        <f>E222+E276+E428+E545+E581+E761+E810+E896+E956+E972+E1056+E1074</f>
        <v>46000000</v>
      </c>
      <c r="F1078" s="66"/>
      <c r="G1078" s="66">
        <f>G222+G276+G428+G545+G581+G761+G810+G896+G956+G972+G1056+G1074</f>
        <v>46995610</v>
      </c>
      <c r="H1078" s="1"/>
      <c r="I1078" s="1"/>
      <c r="J1078" s="1"/>
      <c r="K1078" s="1"/>
      <c r="L1078" s="1"/>
    </row>
    <row r="1079" spans="1:13" s="7" customFormat="1" ht="17.25">
      <c r="A1079" s="49"/>
      <c r="B1079" s="214"/>
      <c r="C1079" s="214"/>
      <c r="D1079" s="214"/>
      <c r="E1079" s="214"/>
      <c r="F1079" s="214"/>
      <c r="G1079" s="214"/>
      <c r="H1079" s="1"/>
      <c r="I1079" s="1"/>
      <c r="J1079" s="1"/>
      <c r="K1079" s="1"/>
      <c r="L1079" s="1"/>
    </row>
    <row r="1080" spans="1:13" s="7" customFormat="1" ht="17.25">
      <c r="A1080" s="40"/>
      <c r="B1080" s="213"/>
      <c r="C1080" s="213"/>
      <c r="D1080" s="213"/>
      <c r="E1080" s="213"/>
      <c r="F1080" s="213"/>
      <c r="G1080" s="213"/>
      <c r="H1080" s="1"/>
      <c r="I1080" s="1"/>
      <c r="J1080" s="1"/>
      <c r="K1080" s="1"/>
      <c r="L1080" s="1"/>
    </row>
    <row r="1081" spans="1:13" s="7" customFormat="1" ht="17.25">
      <c r="A1081" s="40"/>
      <c r="B1081" s="42"/>
      <c r="C1081" s="42"/>
      <c r="D1081" s="42"/>
      <c r="E1081" s="42"/>
      <c r="F1081" s="42"/>
      <c r="G1081" s="42"/>
      <c r="H1081" s="1"/>
      <c r="I1081" s="1"/>
      <c r="J1081" s="1"/>
      <c r="K1081" s="1"/>
      <c r="L1081" s="1"/>
    </row>
    <row r="1082" spans="1:13" ht="17.25">
      <c r="A1082" s="40"/>
      <c r="B1082" s="213"/>
      <c r="C1082" s="213"/>
      <c r="D1082" s="213"/>
      <c r="E1082" s="213"/>
      <c r="F1082" s="213"/>
      <c r="G1082" s="213"/>
      <c r="H1082" s="1"/>
      <c r="I1082" s="1"/>
      <c r="J1082" s="1"/>
      <c r="K1082" s="1"/>
      <c r="L1082" s="1"/>
    </row>
    <row r="1083" spans="1:13" ht="14.25" customHeight="1">
      <c r="A1083" s="40"/>
      <c r="B1083" s="213"/>
      <c r="C1083" s="213"/>
      <c r="D1083" s="213"/>
      <c r="E1083" s="213"/>
      <c r="F1083" s="213"/>
      <c r="G1083" s="213"/>
      <c r="H1083" s="1"/>
      <c r="I1083" s="1"/>
      <c r="J1083" s="1"/>
      <c r="K1083" s="1"/>
      <c r="L1083" s="1"/>
    </row>
    <row r="1084" spans="1:13" ht="17.25">
      <c r="A1084" s="40"/>
      <c r="B1084" s="213"/>
      <c r="C1084" s="213"/>
      <c r="D1084" s="213"/>
      <c r="E1084" s="213"/>
      <c r="F1084" s="213"/>
      <c r="G1084" s="213"/>
      <c r="H1084" s="1"/>
      <c r="I1084" s="1"/>
      <c r="J1084" s="1"/>
      <c r="K1084" s="1"/>
      <c r="L1084" s="1"/>
    </row>
    <row r="1085" spans="1:13" ht="17.25">
      <c r="A1085" s="40"/>
      <c r="B1085" s="213"/>
      <c r="C1085" s="213"/>
      <c r="D1085" s="213"/>
      <c r="E1085" s="213"/>
      <c r="F1085" s="213"/>
      <c r="G1085" s="213"/>
      <c r="H1085" s="1"/>
      <c r="I1085" s="1"/>
      <c r="J1085" s="1"/>
      <c r="K1085" s="1"/>
      <c r="L1085" s="1"/>
    </row>
    <row r="1086" spans="1:13" ht="17.25">
      <c r="A1086" s="40"/>
      <c r="B1086" s="42"/>
      <c r="C1086" s="42"/>
      <c r="D1086" s="42"/>
      <c r="E1086" s="42"/>
      <c r="F1086" s="42"/>
      <c r="G1086" s="42"/>
      <c r="H1086" s="1"/>
      <c r="I1086" s="1"/>
      <c r="J1086" s="1"/>
      <c r="K1086" s="1"/>
      <c r="L1086" s="1"/>
    </row>
    <row r="1087" spans="1:13" ht="17.25">
      <c r="A1087" s="25"/>
      <c r="B1087" s="42"/>
      <c r="C1087" s="42"/>
      <c r="D1087" s="42"/>
      <c r="E1087" s="42"/>
      <c r="F1087" s="42"/>
      <c r="G1087" s="42"/>
      <c r="H1087" s="1"/>
      <c r="I1087" s="1"/>
      <c r="J1087" s="1"/>
      <c r="K1087" s="1"/>
      <c r="L1087" s="1"/>
    </row>
    <row r="1088" spans="1:13" ht="17.25">
      <c r="A1088" s="25"/>
      <c r="B1088" s="42"/>
      <c r="C1088" s="42"/>
      <c r="D1088" s="42"/>
      <c r="E1088" s="42"/>
      <c r="F1088" s="42"/>
      <c r="G1088" s="42"/>
    </row>
    <row r="1089" spans="1:7" ht="17.25">
      <c r="A1089" s="25"/>
      <c r="B1089" s="42"/>
      <c r="C1089" s="42"/>
      <c r="D1089" s="42"/>
      <c r="E1089" s="42"/>
      <c r="F1089" s="42"/>
      <c r="G1089" s="42"/>
    </row>
    <row r="1090" spans="1:7" ht="17.25">
      <c r="A1090" s="25"/>
      <c r="B1090" s="42"/>
      <c r="C1090" s="42"/>
      <c r="D1090" s="42"/>
      <c r="E1090" s="42"/>
      <c r="F1090" s="42"/>
      <c r="G1090" s="42"/>
    </row>
    <row r="1091" spans="1:7" ht="17.25">
      <c r="A1091" s="107"/>
      <c r="B1091" s="42"/>
      <c r="C1091" s="42"/>
      <c r="D1091" s="42"/>
      <c r="E1091" s="42"/>
      <c r="F1091" s="42"/>
      <c r="G1091" s="42"/>
    </row>
    <row r="1092" spans="1:7" ht="17.25">
      <c r="A1092" s="107"/>
      <c r="B1092" s="42"/>
      <c r="C1092" s="42"/>
      <c r="D1092" s="42"/>
      <c r="E1092" s="42"/>
      <c r="F1092" s="42"/>
      <c r="G1092" s="42"/>
    </row>
  </sheetData>
  <mergeCells count="817">
    <mergeCell ref="B7:D7"/>
    <mergeCell ref="B1035:B1036"/>
    <mergeCell ref="C1035:C1036"/>
    <mergeCell ref="D1035:D1036"/>
    <mergeCell ref="E1035:E1036"/>
    <mergeCell ref="F1035:F1036"/>
    <mergeCell ref="G1035:G1036"/>
    <mergeCell ref="B938:B939"/>
    <mergeCell ref="C938:C939"/>
    <mergeCell ref="D938:D939"/>
    <mergeCell ref="E938:E939"/>
    <mergeCell ref="F938:F939"/>
    <mergeCell ref="G938:G939"/>
    <mergeCell ref="B942:B943"/>
    <mergeCell ref="C942:C943"/>
    <mergeCell ref="D942:D943"/>
    <mergeCell ref="E942:E943"/>
    <mergeCell ref="F942:F943"/>
    <mergeCell ref="G942:G943"/>
    <mergeCell ref="B1031:B1032"/>
    <mergeCell ref="C1031:C1032"/>
    <mergeCell ref="D1031:D1032"/>
    <mergeCell ref="E1031:E1032"/>
    <mergeCell ref="F1031:F1032"/>
    <mergeCell ref="G1031:G1032"/>
    <mergeCell ref="B1033:B1034"/>
    <mergeCell ref="C1033:C1034"/>
    <mergeCell ref="D1033:D1034"/>
    <mergeCell ref="E1033:E1034"/>
    <mergeCell ref="F1033:F1034"/>
    <mergeCell ref="G1033:G1034"/>
    <mergeCell ref="B1029:B1030"/>
    <mergeCell ref="C1029:C1030"/>
    <mergeCell ref="E1029:E1030"/>
    <mergeCell ref="F1029:F1030"/>
    <mergeCell ref="G1029:G1030"/>
    <mergeCell ref="D1029:D1030"/>
    <mergeCell ref="B1024:B1026"/>
    <mergeCell ref="C1024:C1026"/>
    <mergeCell ref="E1024:E1026"/>
    <mergeCell ref="F1024:F1026"/>
    <mergeCell ref="G1024:G1026"/>
    <mergeCell ref="D1024:D1026"/>
    <mergeCell ref="B560:B561"/>
    <mergeCell ref="C560:C561"/>
    <mergeCell ref="E560:E561"/>
    <mergeCell ref="F560:F561"/>
    <mergeCell ref="G560:G561"/>
    <mergeCell ref="D560:D561"/>
    <mergeCell ref="B555:B556"/>
    <mergeCell ref="C555:C556"/>
    <mergeCell ref="E555:E556"/>
    <mergeCell ref="F555:F556"/>
    <mergeCell ref="G555:G556"/>
    <mergeCell ref="D555:D556"/>
    <mergeCell ref="B529:B531"/>
    <mergeCell ref="C529:C531"/>
    <mergeCell ref="E529:E531"/>
    <mergeCell ref="F529:F531"/>
    <mergeCell ref="G529:G531"/>
    <mergeCell ref="D529:D531"/>
    <mergeCell ref="B71:B72"/>
    <mergeCell ref="C71:C72"/>
    <mergeCell ref="D71:D72"/>
    <mergeCell ref="E71:E72"/>
    <mergeCell ref="F71:F72"/>
    <mergeCell ref="G71:G72"/>
    <mergeCell ref="B343:B344"/>
    <mergeCell ref="C343:C344"/>
    <mergeCell ref="E343:E344"/>
    <mergeCell ref="F343:F344"/>
    <mergeCell ref="G343:G344"/>
    <mergeCell ref="D343:D344"/>
    <mergeCell ref="B337:B338"/>
    <mergeCell ref="C337:C338"/>
    <mergeCell ref="E337:E338"/>
    <mergeCell ref="F337:F338"/>
    <mergeCell ref="G337:G338"/>
    <mergeCell ref="D337:D338"/>
    <mergeCell ref="B1084:B1085"/>
    <mergeCell ref="C1084:C1085"/>
    <mergeCell ref="E1084:E1085"/>
    <mergeCell ref="F1084:F1085"/>
    <mergeCell ref="G1084:G1085"/>
    <mergeCell ref="D1084:D1085"/>
    <mergeCell ref="B1082:B1083"/>
    <mergeCell ref="C1082:C1083"/>
    <mergeCell ref="E1082:E1083"/>
    <mergeCell ref="F1082:F1083"/>
    <mergeCell ref="G1082:G1083"/>
    <mergeCell ref="D1082:D1083"/>
    <mergeCell ref="B1079:B1080"/>
    <mergeCell ref="C1079:C1080"/>
    <mergeCell ref="E1079:E1080"/>
    <mergeCell ref="F1079:F1080"/>
    <mergeCell ref="G1079:G1080"/>
    <mergeCell ref="D1079:D1080"/>
    <mergeCell ref="B1072:B1073"/>
    <mergeCell ref="C1072:C1073"/>
    <mergeCell ref="E1072:E1073"/>
    <mergeCell ref="F1072:F1073"/>
    <mergeCell ref="G1072:G1073"/>
    <mergeCell ref="D1072:D1073"/>
    <mergeCell ref="B1051:B1052"/>
    <mergeCell ref="C1051:C1052"/>
    <mergeCell ref="E1051:E1052"/>
    <mergeCell ref="F1051:F1052"/>
    <mergeCell ref="G1051:G1052"/>
    <mergeCell ref="D1051:D1052"/>
    <mergeCell ref="B1048:B1050"/>
    <mergeCell ref="C1048:C1050"/>
    <mergeCell ref="E1048:E1050"/>
    <mergeCell ref="F1048:F1050"/>
    <mergeCell ref="G1048:G1050"/>
    <mergeCell ref="D1048:D1050"/>
    <mergeCell ref="B1045:B1047"/>
    <mergeCell ref="C1045:C1047"/>
    <mergeCell ref="E1045:E1047"/>
    <mergeCell ref="F1045:F1047"/>
    <mergeCell ref="G1045:G1047"/>
    <mergeCell ref="D1045:D1047"/>
    <mergeCell ref="B1043:B1044"/>
    <mergeCell ref="C1043:C1044"/>
    <mergeCell ref="E1043:E1044"/>
    <mergeCell ref="F1043:F1044"/>
    <mergeCell ref="G1043:G1044"/>
    <mergeCell ref="D1043:D1044"/>
    <mergeCell ref="B1040:B1042"/>
    <mergeCell ref="C1040:C1042"/>
    <mergeCell ref="E1040:E1042"/>
    <mergeCell ref="F1040:F1042"/>
    <mergeCell ref="G1040:G1042"/>
    <mergeCell ref="D1040:D1042"/>
    <mergeCell ref="B1037:B1039"/>
    <mergeCell ref="C1037:C1039"/>
    <mergeCell ref="E1037:E1039"/>
    <mergeCell ref="F1037:F1039"/>
    <mergeCell ref="G1037:G1039"/>
    <mergeCell ref="D1037:D1039"/>
    <mergeCell ref="B1027:B1028"/>
    <mergeCell ref="C1027:C1028"/>
    <mergeCell ref="D1027:D1028"/>
    <mergeCell ref="E1027:E1028"/>
    <mergeCell ref="F1027:F1028"/>
    <mergeCell ref="G1027:G1028"/>
    <mergeCell ref="B1021:B1023"/>
    <mergeCell ref="C1021:C1023"/>
    <mergeCell ref="E1021:E1023"/>
    <mergeCell ref="F1021:F1023"/>
    <mergeCell ref="G1021:G1023"/>
    <mergeCell ref="D1021:D1023"/>
    <mergeCell ref="B1018:B1020"/>
    <mergeCell ref="C1018:C1020"/>
    <mergeCell ref="E1018:E1020"/>
    <mergeCell ref="F1018:F1020"/>
    <mergeCell ref="G1018:G1020"/>
    <mergeCell ref="D1018:D1020"/>
    <mergeCell ref="B1014:B1015"/>
    <mergeCell ref="C1014:C1015"/>
    <mergeCell ref="E1014:E1015"/>
    <mergeCell ref="F1014:F1015"/>
    <mergeCell ref="G1014:G1015"/>
    <mergeCell ref="D1014:D1015"/>
    <mergeCell ref="B1012:B1013"/>
    <mergeCell ref="C1012:C1013"/>
    <mergeCell ref="E1012:E1013"/>
    <mergeCell ref="F1012:F1013"/>
    <mergeCell ref="G1012:G1013"/>
    <mergeCell ref="D1012:D1013"/>
    <mergeCell ref="B1005:B1006"/>
    <mergeCell ref="C1005:C1006"/>
    <mergeCell ref="E1005:E1006"/>
    <mergeCell ref="F1005:F1006"/>
    <mergeCell ref="G1005:G1006"/>
    <mergeCell ref="D1005:D1006"/>
    <mergeCell ref="B988:B989"/>
    <mergeCell ref="C988:C989"/>
    <mergeCell ref="E988:E989"/>
    <mergeCell ref="F988:F989"/>
    <mergeCell ref="G988:G989"/>
    <mergeCell ref="D988:D989"/>
    <mergeCell ref="B951:B952"/>
    <mergeCell ref="C951:C952"/>
    <mergeCell ref="E951:E952"/>
    <mergeCell ref="F951:F952"/>
    <mergeCell ref="G951:G952"/>
    <mergeCell ref="D951:D952"/>
    <mergeCell ref="B949:B950"/>
    <mergeCell ref="C949:C950"/>
    <mergeCell ref="E949:E950"/>
    <mergeCell ref="F949:F950"/>
    <mergeCell ref="G949:G950"/>
    <mergeCell ref="D949:D950"/>
    <mergeCell ref="B946:B947"/>
    <mergeCell ref="C946:C947"/>
    <mergeCell ref="E946:E947"/>
    <mergeCell ref="F946:F947"/>
    <mergeCell ref="G946:G947"/>
    <mergeCell ref="D946:D947"/>
    <mergeCell ref="B944:B945"/>
    <mergeCell ref="C944:C945"/>
    <mergeCell ref="E944:E945"/>
    <mergeCell ref="F944:F945"/>
    <mergeCell ref="G944:G945"/>
    <mergeCell ref="D944:D945"/>
    <mergeCell ref="B940:B941"/>
    <mergeCell ref="C940:C941"/>
    <mergeCell ref="E940:E941"/>
    <mergeCell ref="F940:F941"/>
    <mergeCell ref="G940:G941"/>
    <mergeCell ref="D940:D941"/>
    <mergeCell ref="B936:B937"/>
    <mergeCell ref="C936:C937"/>
    <mergeCell ref="E936:E937"/>
    <mergeCell ref="F936:F937"/>
    <mergeCell ref="G936:G937"/>
    <mergeCell ref="D936:D937"/>
    <mergeCell ref="B933:B934"/>
    <mergeCell ref="C933:C934"/>
    <mergeCell ref="E933:E934"/>
    <mergeCell ref="F933:F934"/>
    <mergeCell ref="G933:G934"/>
    <mergeCell ref="D933:D934"/>
    <mergeCell ref="B931:B932"/>
    <mergeCell ref="C931:C932"/>
    <mergeCell ref="E931:E932"/>
    <mergeCell ref="F931:F932"/>
    <mergeCell ref="G931:G932"/>
    <mergeCell ref="D931:D932"/>
    <mergeCell ref="B929:B930"/>
    <mergeCell ref="C929:C930"/>
    <mergeCell ref="E929:E930"/>
    <mergeCell ref="F929:F930"/>
    <mergeCell ref="G929:G930"/>
    <mergeCell ref="D929:D930"/>
    <mergeCell ref="B927:B928"/>
    <mergeCell ref="C927:C928"/>
    <mergeCell ref="E927:E928"/>
    <mergeCell ref="F927:F928"/>
    <mergeCell ref="G927:G928"/>
    <mergeCell ref="D927:D928"/>
    <mergeCell ref="B925:B926"/>
    <mergeCell ref="C925:C926"/>
    <mergeCell ref="E925:E926"/>
    <mergeCell ref="F925:F926"/>
    <mergeCell ref="G925:G926"/>
    <mergeCell ref="D925:D926"/>
    <mergeCell ref="B923:B924"/>
    <mergeCell ref="C923:C924"/>
    <mergeCell ref="E923:E924"/>
    <mergeCell ref="F923:F924"/>
    <mergeCell ref="G923:G924"/>
    <mergeCell ref="D923:D924"/>
    <mergeCell ref="B885:B886"/>
    <mergeCell ref="C885:C886"/>
    <mergeCell ref="E885:E886"/>
    <mergeCell ref="F885:F886"/>
    <mergeCell ref="G885:G886"/>
    <mergeCell ref="D885:D886"/>
    <mergeCell ref="B862:B863"/>
    <mergeCell ref="C862:C863"/>
    <mergeCell ref="E862:E863"/>
    <mergeCell ref="F862:F863"/>
    <mergeCell ref="G862:G863"/>
    <mergeCell ref="D862:D863"/>
    <mergeCell ref="B839:B840"/>
    <mergeCell ref="C839:C840"/>
    <mergeCell ref="E839:E840"/>
    <mergeCell ref="F839:F840"/>
    <mergeCell ref="G839:G840"/>
    <mergeCell ref="D839:D840"/>
    <mergeCell ref="B829:B830"/>
    <mergeCell ref="C829:C830"/>
    <mergeCell ref="D829:D830"/>
    <mergeCell ref="E829:E830"/>
    <mergeCell ref="F829:F830"/>
    <mergeCell ref="G829:G830"/>
    <mergeCell ref="B796:B797"/>
    <mergeCell ref="C796:C797"/>
    <mergeCell ref="E796:E797"/>
    <mergeCell ref="F796:F797"/>
    <mergeCell ref="G796:G797"/>
    <mergeCell ref="D796:D797"/>
    <mergeCell ref="B792:B793"/>
    <mergeCell ref="C792:C793"/>
    <mergeCell ref="E792:E793"/>
    <mergeCell ref="F792:F793"/>
    <mergeCell ref="G792:G793"/>
    <mergeCell ref="D792:D793"/>
    <mergeCell ref="B790:B791"/>
    <mergeCell ref="C790:C791"/>
    <mergeCell ref="E790:E791"/>
    <mergeCell ref="F790:F791"/>
    <mergeCell ref="G790:G791"/>
    <mergeCell ref="D790:D791"/>
    <mergeCell ref="B786:B788"/>
    <mergeCell ref="C786:C788"/>
    <mergeCell ref="E786:E788"/>
    <mergeCell ref="F786:F788"/>
    <mergeCell ref="G786:G788"/>
    <mergeCell ref="D786:D788"/>
    <mergeCell ref="B783:B784"/>
    <mergeCell ref="C783:C784"/>
    <mergeCell ref="E783:E784"/>
    <mergeCell ref="F783:F784"/>
    <mergeCell ref="G783:G784"/>
    <mergeCell ref="D783:D784"/>
    <mergeCell ref="B775:B776"/>
    <mergeCell ref="C775:C776"/>
    <mergeCell ref="E775:E776"/>
    <mergeCell ref="F775:F776"/>
    <mergeCell ref="G775:G776"/>
    <mergeCell ref="D775:D776"/>
    <mergeCell ref="B770:B771"/>
    <mergeCell ref="C770:C771"/>
    <mergeCell ref="E770:E771"/>
    <mergeCell ref="F770:F771"/>
    <mergeCell ref="G770:G771"/>
    <mergeCell ref="D770:D771"/>
    <mergeCell ref="B768:B769"/>
    <mergeCell ref="C768:C769"/>
    <mergeCell ref="E768:E769"/>
    <mergeCell ref="F768:F769"/>
    <mergeCell ref="G768:G769"/>
    <mergeCell ref="D768:D769"/>
    <mergeCell ref="B766:B767"/>
    <mergeCell ref="C766:C767"/>
    <mergeCell ref="E766:E767"/>
    <mergeCell ref="F766:F767"/>
    <mergeCell ref="G766:G767"/>
    <mergeCell ref="D766:D767"/>
    <mergeCell ref="B756:B757"/>
    <mergeCell ref="C756:C757"/>
    <mergeCell ref="E756:E757"/>
    <mergeCell ref="F756:F757"/>
    <mergeCell ref="G756:G757"/>
    <mergeCell ref="D756:D757"/>
    <mergeCell ref="B754:B755"/>
    <mergeCell ref="C754:C755"/>
    <mergeCell ref="E754:E755"/>
    <mergeCell ref="F754:F755"/>
    <mergeCell ref="G754:G755"/>
    <mergeCell ref="D754:D755"/>
    <mergeCell ref="B752:B753"/>
    <mergeCell ref="C752:C753"/>
    <mergeCell ref="E752:E753"/>
    <mergeCell ref="F752:F753"/>
    <mergeCell ref="G752:G753"/>
    <mergeCell ref="D752:D753"/>
    <mergeCell ref="B719:B720"/>
    <mergeCell ref="C719:C720"/>
    <mergeCell ref="E719:E720"/>
    <mergeCell ref="F719:F720"/>
    <mergeCell ref="G719:G720"/>
    <mergeCell ref="D719:D720"/>
    <mergeCell ref="B730:B731"/>
    <mergeCell ref="C730:C731"/>
    <mergeCell ref="E730:E731"/>
    <mergeCell ref="F730:F731"/>
    <mergeCell ref="G730:G731"/>
    <mergeCell ref="D730:D731"/>
    <mergeCell ref="B726:B728"/>
    <mergeCell ref="C726:C728"/>
    <mergeCell ref="E726:E728"/>
    <mergeCell ref="F726:F728"/>
    <mergeCell ref="G726:G728"/>
    <mergeCell ref="D726:D728"/>
    <mergeCell ref="B696:B698"/>
    <mergeCell ref="C696:C698"/>
    <mergeCell ref="E696:E698"/>
    <mergeCell ref="F696:F698"/>
    <mergeCell ref="G696:G698"/>
    <mergeCell ref="D696:D698"/>
    <mergeCell ref="B699:B700"/>
    <mergeCell ref="C699:C700"/>
    <mergeCell ref="D699:D700"/>
    <mergeCell ref="E699:E700"/>
    <mergeCell ref="F699:F700"/>
    <mergeCell ref="G699:G700"/>
    <mergeCell ref="B693:B695"/>
    <mergeCell ref="C693:C695"/>
    <mergeCell ref="E693:E695"/>
    <mergeCell ref="F693:F695"/>
    <mergeCell ref="G693:G695"/>
    <mergeCell ref="D693:D695"/>
    <mergeCell ref="B683:B684"/>
    <mergeCell ref="C683:C684"/>
    <mergeCell ref="E683:E684"/>
    <mergeCell ref="F683:F684"/>
    <mergeCell ref="G683:G684"/>
    <mergeCell ref="D683:D684"/>
    <mergeCell ref="E691:E692"/>
    <mergeCell ref="F691:F692"/>
    <mergeCell ref="G691:G692"/>
    <mergeCell ref="B685:B686"/>
    <mergeCell ref="C685:C686"/>
    <mergeCell ref="D685:D686"/>
    <mergeCell ref="E685:E686"/>
    <mergeCell ref="F685:F686"/>
    <mergeCell ref="G685:G686"/>
    <mergeCell ref="B691:B692"/>
    <mergeCell ref="C691:C692"/>
    <mergeCell ref="D691:D692"/>
    <mergeCell ref="B681:B682"/>
    <mergeCell ref="C681:C682"/>
    <mergeCell ref="E681:E682"/>
    <mergeCell ref="F681:F682"/>
    <mergeCell ref="G681:G682"/>
    <mergeCell ref="D681:D682"/>
    <mergeCell ref="B673:B675"/>
    <mergeCell ref="C673:C675"/>
    <mergeCell ref="E673:E675"/>
    <mergeCell ref="F673:F675"/>
    <mergeCell ref="G673:G675"/>
    <mergeCell ref="D673:D675"/>
    <mergeCell ref="B676:B677"/>
    <mergeCell ref="C676:C677"/>
    <mergeCell ref="D676:D677"/>
    <mergeCell ref="E676:E677"/>
    <mergeCell ref="F676:F677"/>
    <mergeCell ref="G676:G677"/>
    <mergeCell ref="B678:B679"/>
    <mergeCell ref="C678:C679"/>
    <mergeCell ref="D678:D679"/>
    <mergeCell ref="E678:E679"/>
    <mergeCell ref="F678:F679"/>
    <mergeCell ref="G678:G679"/>
    <mergeCell ref="B670:B672"/>
    <mergeCell ref="C670:C672"/>
    <mergeCell ref="E670:E672"/>
    <mergeCell ref="F670:F672"/>
    <mergeCell ref="G670:G672"/>
    <mergeCell ref="D670:D672"/>
    <mergeCell ref="B668:B669"/>
    <mergeCell ref="C668:C669"/>
    <mergeCell ref="E668:E669"/>
    <mergeCell ref="F668:F669"/>
    <mergeCell ref="G668:G669"/>
    <mergeCell ref="D668:D669"/>
    <mergeCell ref="B665:B667"/>
    <mergeCell ref="C665:C667"/>
    <mergeCell ref="E665:E667"/>
    <mergeCell ref="F665:F667"/>
    <mergeCell ref="G665:G667"/>
    <mergeCell ref="D665:D667"/>
    <mergeCell ref="B663:B664"/>
    <mergeCell ref="C663:C664"/>
    <mergeCell ref="E663:E664"/>
    <mergeCell ref="F663:F664"/>
    <mergeCell ref="G663:G664"/>
    <mergeCell ref="D663:D664"/>
    <mergeCell ref="B659:B662"/>
    <mergeCell ref="C659:C662"/>
    <mergeCell ref="E659:E662"/>
    <mergeCell ref="F659:F662"/>
    <mergeCell ref="G659:G662"/>
    <mergeCell ref="D659:D662"/>
    <mergeCell ref="B657:B658"/>
    <mergeCell ref="C657:C658"/>
    <mergeCell ref="E657:E658"/>
    <mergeCell ref="F657:F658"/>
    <mergeCell ref="G657:G658"/>
    <mergeCell ref="D657:D658"/>
    <mergeCell ref="B655:B656"/>
    <mergeCell ref="C655:C656"/>
    <mergeCell ref="E655:E656"/>
    <mergeCell ref="F655:F656"/>
    <mergeCell ref="G655:G656"/>
    <mergeCell ref="D655:D656"/>
    <mergeCell ref="B653:B654"/>
    <mergeCell ref="C653:C654"/>
    <mergeCell ref="E653:E654"/>
    <mergeCell ref="F653:F654"/>
    <mergeCell ref="G653:G654"/>
    <mergeCell ref="D653:D654"/>
    <mergeCell ref="B651:B652"/>
    <mergeCell ref="C651:C652"/>
    <mergeCell ref="E651:E652"/>
    <mergeCell ref="F651:F652"/>
    <mergeCell ref="G651:G652"/>
    <mergeCell ref="D651:D652"/>
    <mergeCell ref="B649:B650"/>
    <mergeCell ref="C649:C650"/>
    <mergeCell ref="E649:E650"/>
    <mergeCell ref="F649:F650"/>
    <mergeCell ref="G649:G650"/>
    <mergeCell ref="D649:D650"/>
    <mergeCell ref="B603:B604"/>
    <mergeCell ref="C603:C604"/>
    <mergeCell ref="E603:E604"/>
    <mergeCell ref="F603:F604"/>
    <mergeCell ref="G603:G604"/>
    <mergeCell ref="D603:D604"/>
    <mergeCell ref="B595:B596"/>
    <mergeCell ref="C595:C596"/>
    <mergeCell ref="E595:E596"/>
    <mergeCell ref="F595:F596"/>
    <mergeCell ref="G595:G596"/>
    <mergeCell ref="D595:D596"/>
    <mergeCell ref="B523:B524"/>
    <mergeCell ref="C523:C524"/>
    <mergeCell ref="E523:E524"/>
    <mergeCell ref="F523:F524"/>
    <mergeCell ref="G523:G524"/>
    <mergeCell ref="D523:D524"/>
    <mergeCell ref="B517:B518"/>
    <mergeCell ref="C517:C518"/>
    <mergeCell ref="E517:E518"/>
    <mergeCell ref="F517:F518"/>
    <mergeCell ref="G517:G518"/>
    <mergeCell ref="D517:D518"/>
    <mergeCell ref="B513:B514"/>
    <mergeCell ref="C513:C514"/>
    <mergeCell ref="E513:E514"/>
    <mergeCell ref="F513:F514"/>
    <mergeCell ref="G513:G514"/>
    <mergeCell ref="D513:D514"/>
    <mergeCell ref="B511:B512"/>
    <mergeCell ref="C511:C512"/>
    <mergeCell ref="E511:E512"/>
    <mergeCell ref="F511:F512"/>
    <mergeCell ref="G511:G512"/>
    <mergeCell ref="D511:D512"/>
    <mergeCell ref="B502:B503"/>
    <mergeCell ref="C502:C503"/>
    <mergeCell ref="E502:E503"/>
    <mergeCell ref="F502:F503"/>
    <mergeCell ref="G502:G503"/>
    <mergeCell ref="D502:D503"/>
    <mergeCell ref="B498:B499"/>
    <mergeCell ref="C498:C499"/>
    <mergeCell ref="E498:E499"/>
    <mergeCell ref="F498:F499"/>
    <mergeCell ref="G498:G499"/>
    <mergeCell ref="D498:D499"/>
    <mergeCell ref="B496:B497"/>
    <mergeCell ref="C496:C497"/>
    <mergeCell ref="E496:E497"/>
    <mergeCell ref="F496:F497"/>
    <mergeCell ref="G496:G497"/>
    <mergeCell ref="D496:D497"/>
    <mergeCell ref="B493:B494"/>
    <mergeCell ref="C493:C494"/>
    <mergeCell ref="E493:E494"/>
    <mergeCell ref="F493:F494"/>
    <mergeCell ref="G493:G494"/>
    <mergeCell ref="D493:D494"/>
    <mergeCell ref="B448:B449"/>
    <mergeCell ref="C448:C449"/>
    <mergeCell ref="E448:E449"/>
    <mergeCell ref="F448:F449"/>
    <mergeCell ref="G448:G449"/>
    <mergeCell ref="D448:D449"/>
    <mergeCell ref="B441:B442"/>
    <mergeCell ref="C441:C442"/>
    <mergeCell ref="E441:E442"/>
    <mergeCell ref="F441:F442"/>
    <mergeCell ref="G441:G442"/>
    <mergeCell ref="D441:D442"/>
    <mergeCell ref="B416:B417"/>
    <mergeCell ref="C416:C417"/>
    <mergeCell ref="E416:E417"/>
    <mergeCell ref="F416:F417"/>
    <mergeCell ref="G416:G417"/>
    <mergeCell ref="D416:D417"/>
    <mergeCell ref="B400:B401"/>
    <mergeCell ref="C400:C401"/>
    <mergeCell ref="E400:E401"/>
    <mergeCell ref="F400:F401"/>
    <mergeCell ref="G400:G401"/>
    <mergeCell ref="D400:D401"/>
    <mergeCell ref="B398:B399"/>
    <mergeCell ref="C398:C399"/>
    <mergeCell ref="E398:E399"/>
    <mergeCell ref="F398:F399"/>
    <mergeCell ref="G398:G399"/>
    <mergeCell ref="D398:D399"/>
    <mergeCell ref="B395:B396"/>
    <mergeCell ref="C395:C396"/>
    <mergeCell ref="E395:E396"/>
    <mergeCell ref="F395:F396"/>
    <mergeCell ref="G395:G396"/>
    <mergeCell ref="D395:D396"/>
    <mergeCell ref="B392:B393"/>
    <mergeCell ref="C392:C393"/>
    <mergeCell ref="E392:E393"/>
    <mergeCell ref="F392:F393"/>
    <mergeCell ref="G392:G393"/>
    <mergeCell ref="D392:D393"/>
    <mergeCell ref="B296:B297"/>
    <mergeCell ref="C296:C297"/>
    <mergeCell ref="E296:E297"/>
    <mergeCell ref="F296:F297"/>
    <mergeCell ref="G296:G297"/>
    <mergeCell ref="D296:D297"/>
    <mergeCell ref="B289:B290"/>
    <mergeCell ref="C289:C290"/>
    <mergeCell ref="E289:E290"/>
    <mergeCell ref="F289:F290"/>
    <mergeCell ref="G289:G290"/>
    <mergeCell ref="D289:D290"/>
    <mergeCell ref="B267:B268"/>
    <mergeCell ref="C267:C268"/>
    <mergeCell ref="E267:E268"/>
    <mergeCell ref="F267:F268"/>
    <mergeCell ref="G267:G268"/>
    <mergeCell ref="D267:D268"/>
    <mergeCell ref="B251:B252"/>
    <mergeCell ref="C251:C252"/>
    <mergeCell ref="E251:E252"/>
    <mergeCell ref="F251:F252"/>
    <mergeCell ref="G251:G252"/>
    <mergeCell ref="D251:D252"/>
    <mergeCell ref="B249:B250"/>
    <mergeCell ref="C249:C250"/>
    <mergeCell ref="E249:E250"/>
    <mergeCell ref="F249:F250"/>
    <mergeCell ref="G249:G250"/>
    <mergeCell ref="D249:D250"/>
    <mergeCell ref="B247:B248"/>
    <mergeCell ref="C247:C248"/>
    <mergeCell ref="E247:E248"/>
    <mergeCell ref="F247:F248"/>
    <mergeCell ref="G247:G248"/>
    <mergeCell ref="D247:D248"/>
    <mergeCell ref="B242:B243"/>
    <mergeCell ref="C242:C243"/>
    <mergeCell ref="E242:E243"/>
    <mergeCell ref="F242:F243"/>
    <mergeCell ref="G242:G243"/>
    <mergeCell ref="D242:D243"/>
    <mergeCell ref="B240:B241"/>
    <mergeCell ref="C240:C241"/>
    <mergeCell ref="E240:E241"/>
    <mergeCell ref="F240:F241"/>
    <mergeCell ref="G240:G241"/>
    <mergeCell ref="D240:D241"/>
    <mergeCell ref="B189:B190"/>
    <mergeCell ref="C189:C190"/>
    <mergeCell ref="E189:E190"/>
    <mergeCell ref="F189:F190"/>
    <mergeCell ref="G189:G190"/>
    <mergeCell ref="D189:D190"/>
    <mergeCell ref="B182:B183"/>
    <mergeCell ref="C182:C183"/>
    <mergeCell ref="E182:E183"/>
    <mergeCell ref="F182:F183"/>
    <mergeCell ref="G182:G183"/>
    <mergeCell ref="D182:D183"/>
    <mergeCell ref="B179:B180"/>
    <mergeCell ref="C179:C180"/>
    <mergeCell ref="E179:E180"/>
    <mergeCell ref="F179:F180"/>
    <mergeCell ref="G179:G180"/>
    <mergeCell ref="D179:D180"/>
    <mergeCell ref="B172:B173"/>
    <mergeCell ref="C172:C173"/>
    <mergeCell ref="E172:E173"/>
    <mergeCell ref="F172:F173"/>
    <mergeCell ref="G172:G173"/>
    <mergeCell ref="D172:D173"/>
    <mergeCell ref="B155:B156"/>
    <mergeCell ref="C155:C156"/>
    <mergeCell ref="E155:E156"/>
    <mergeCell ref="F155:F156"/>
    <mergeCell ref="G155:G156"/>
    <mergeCell ref="D155:D156"/>
    <mergeCell ref="B153:B154"/>
    <mergeCell ref="C153:C154"/>
    <mergeCell ref="E153:E154"/>
    <mergeCell ref="F153:F154"/>
    <mergeCell ref="G153:G154"/>
    <mergeCell ref="D153:D154"/>
    <mergeCell ref="B150:B151"/>
    <mergeCell ref="C150:C151"/>
    <mergeCell ref="E150:E151"/>
    <mergeCell ref="F150:F151"/>
    <mergeCell ref="G150:G151"/>
    <mergeCell ref="D150:D151"/>
    <mergeCell ref="B109:B110"/>
    <mergeCell ref="C109:C110"/>
    <mergeCell ref="E109:E110"/>
    <mergeCell ref="F109:F110"/>
    <mergeCell ref="G109:G110"/>
    <mergeCell ref="D109:D110"/>
    <mergeCell ref="B107:B108"/>
    <mergeCell ref="C107:C108"/>
    <mergeCell ref="E107:E108"/>
    <mergeCell ref="F107:F108"/>
    <mergeCell ref="G107:G108"/>
    <mergeCell ref="D107:D108"/>
    <mergeCell ref="B68:B70"/>
    <mergeCell ref="C68:C70"/>
    <mergeCell ref="E68:E70"/>
    <mergeCell ref="F68:F70"/>
    <mergeCell ref="G68:G70"/>
    <mergeCell ref="D68:D70"/>
    <mergeCell ref="B65:B67"/>
    <mergeCell ref="C65:C67"/>
    <mergeCell ref="E65:E67"/>
    <mergeCell ref="F65:F67"/>
    <mergeCell ref="G65:G67"/>
    <mergeCell ref="D65:D67"/>
    <mergeCell ref="B63:B64"/>
    <mergeCell ref="C63:C64"/>
    <mergeCell ref="E63:E64"/>
    <mergeCell ref="F63:F64"/>
    <mergeCell ref="G63:G64"/>
    <mergeCell ref="D63:D64"/>
    <mergeCell ref="B59:B62"/>
    <mergeCell ref="C59:C62"/>
    <mergeCell ref="E59:E62"/>
    <mergeCell ref="F59:F62"/>
    <mergeCell ref="G59:G62"/>
    <mergeCell ref="D59:D62"/>
    <mergeCell ref="B57:B58"/>
    <mergeCell ref="C57:C58"/>
    <mergeCell ref="E57:E58"/>
    <mergeCell ref="F57:F58"/>
    <mergeCell ref="G57:G58"/>
    <mergeCell ref="D57:D58"/>
    <mergeCell ref="B54:B56"/>
    <mergeCell ref="C54:C56"/>
    <mergeCell ref="E54:E56"/>
    <mergeCell ref="F54:F56"/>
    <mergeCell ref="G54:G56"/>
    <mergeCell ref="D54:D56"/>
    <mergeCell ref="B52:B53"/>
    <mergeCell ref="C52:C53"/>
    <mergeCell ref="E52:E53"/>
    <mergeCell ref="F52:F53"/>
    <mergeCell ref="G52:G53"/>
    <mergeCell ref="D52:D53"/>
    <mergeCell ref="B34:B35"/>
    <mergeCell ref="C34:C35"/>
    <mergeCell ref="E34:E35"/>
    <mergeCell ref="F34:F35"/>
    <mergeCell ref="G34:G35"/>
    <mergeCell ref="D34:D35"/>
    <mergeCell ref="A3:G3"/>
    <mergeCell ref="A4:G4"/>
    <mergeCell ref="A5:G5"/>
    <mergeCell ref="A6:G6"/>
    <mergeCell ref="A7:A8"/>
    <mergeCell ref="E7:G7"/>
    <mergeCell ref="B20:B21"/>
    <mergeCell ref="C20:C21"/>
    <mergeCell ref="E20:E21"/>
    <mergeCell ref="F20:F21"/>
    <mergeCell ref="G20:G21"/>
    <mergeCell ref="D20:D21"/>
    <mergeCell ref="B17:B19"/>
    <mergeCell ref="C17:C19"/>
    <mergeCell ref="E17:E19"/>
    <mergeCell ref="F17:F19"/>
    <mergeCell ref="G17:G19"/>
    <mergeCell ref="D17:D19"/>
    <mergeCell ref="B14:B15"/>
    <mergeCell ref="C14:C15"/>
    <mergeCell ref="E14:E15"/>
    <mergeCell ref="F14:F15"/>
    <mergeCell ref="G14:G15"/>
    <mergeCell ref="D14:D15"/>
    <mergeCell ref="B43:B44"/>
    <mergeCell ref="C43:C44"/>
    <mergeCell ref="E43:E44"/>
    <mergeCell ref="F43:F44"/>
    <mergeCell ref="G43:G44"/>
    <mergeCell ref="D43:D44"/>
    <mergeCell ref="B50:B51"/>
    <mergeCell ref="C50:C51"/>
    <mergeCell ref="E50:E51"/>
    <mergeCell ref="F50:F51"/>
    <mergeCell ref="G50:G51"/>
    <mergeCell ref="D50:D51"/>
    <mergeCell ref="B48:B49"/>
    <mergeCell ref="C48:C49"/>
    <mergeCell ref="E48:E49"/>
    <mergeCell ref="F48:F49"/>
    <mergeCell ref="G48:G49"/>
    <mergeCell ref="D48:D49"/>
    <mergeCell ref="B687:B688"/>
    <mergeCell ref="C687:C688"/>
    <mergeCell ref="D687:D688"/>
    <mergeCell ref="E687:E688"/>
    <mergeCell ref="F687:F688"/>
    <mergeCell ref="G687:G688"/>
    <mergeCell ref="B689:B690"/>
    <mergeCell ref="C689:C690"/>
    <mergeCell ref="D689:D690"/>
    <mergeCell ref="E689:E690"/>
    <mergeCell ref="F689:F690"/>
    <mergeCell ref="G689:G690"/>
    <mergeCell ref="B702:B703"/>
    <mergeCell ref="C702:C703"/>
    <mergeCell ref="D702:D703"/>
    <mergeCell ref="E702:E703"/>
    <mergeCell ref="F702:F703"/>
    <mergeCell ref="G702:G703"/>
    <mergeCell ref="B779:B780"/>
    <mergeCell ref="C779:C780"/>
    <mergeCell ref="D779:D780"/>
    <mergeCell ref="E779:E780"/>
    <mergeCell ref="F779:F780"/>
    <mergeCell ref="G779:G780"/>
    <mergeCell ref="B704:B706"/>
    <mergeCell ref="C704:C706"/>
    <mergeCell ref="E704:E706"/>
    <mergeCell ref="F704:F706"/>
    <mergeCell ref="G704:G706"/>
    <mergeCell ref="D704:D706"/>
    <mergeCell ref="B724:B725"/>
    <mergeCell ref="C724:C725"/>
    <mergeCell ref="E724:E725"/>
    <mergeCell ref="F724:F725"/>
    <mergeCell ref="G724:G725"/>
    <mergeCell ref="D724:D725"/>
  </mergeCells>
  <pageMargins left="0.51181102362204722" right="0.5118110236220472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ปี60</vt:lpstr>
      <vt:lpstr>ปี61</vt:lpstr>
    </vt:vector>
  </TitlesOfParts>
  <Company>DarkOS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DarkUser</dc:creator>
  <cp:lastModifiedBy>rw</cp:lastModifiedBy>
  <cp:lastPrinted>2018-09-03T03:44:23Z</cp:lastPrinted>
  <dcterms:created xsi:type="dcterms:W3CDTF">2016-09-14T06:09:38Z</dcterms:created>
  <dcterms:modified xsi:type="dcterms:W3CDTF">2018-09-03T06:33:50Z</dcterms:modified>
</cp:coreProperties>
</file>